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803"/>
  <workbookPr showInkAnnotation="0" autoCompressPictures="0"/>
  <mc:AlternateContent xmlns:mc="http://schemas.openxmlformats.org/markup-compatibility/2006">
    <mc:Choice Requires="x15">
      <x15ac:absPath xmlns:x15ac="http://schemas.microsoft.com/office/spreadsheetml/2010/11/ac" url="C:\Users\chbourne\Desktop\"/>
    </mc:Choice>
  </mc:AlternateContent>
  <xr:revisionPtr revIDLastSave="0" documentId="8_{6B1A03CC-17F1-40B3-B7D7-7E336003F9E5}" xr6:coauthVersionLast="47" xr6:coauthVersionMax="47" xr10:uidLastSave="{00000000-0000-0000-0000-000000000000}"/>
  <bookViews>
    <workbookView xWindow="-110" yWindow="-110" windowWidth="25820" windowHeight="15500" tabRatio="509" activeTab="1" xr2:uid="{00000000-000D-0000-FFFF-FFFF00000000}"/>
  </bookViews>
  <sheets>
    <sheet name="Control Entry" sheetId="1" r:id="rId1"/>
    <sheet name="Card #1" sheetId="7" r:id="rId2"/>
    <sheet name="Card #2" sheetId="8" r:id="rId3"/>
  </sheets>
  <definedNames>
    <definedName name="Address_1" localSheetId="1">#REF!</definedName>
    <definedName name="Address_1" localSheetId="2">#REF!</definedName>
    <definedName name="Address_1">#REF!</definedName>
    <definedName name="Address_2" localSheetId="1">#REF!</definedName>
    <definedName name="Address_2" localSheetId="2">#REF!</definedName>
    <definedName name="Address_2">#REF!</definedName>
    <definedName name="brevet">'Control Entry'!$C$6</definedName>
    <definedName name="Brevet_Description">'Control Entry'!$B$8</definedName>
    <definedName name="Brevet_Length">'Control Entry'!$B$6</definedName>
    <definedName name="Brevet_Number">'Control Entry'!$B$9</definedName>
    <definedName name="City" localSheetId="1">#REF!</definedName>
    <definedName name="City" localSheetId="2">#REF!</definedName>
    <definedName name="City">#REF!</definedName>
    <definedName name="Close">'Control Entry'!$M$15:$M$24</definedName>
    <definedName name="Close_time">'Control Entry'!$O$15:$O$24</definedName>
    <definedName name="Control_1">'Control Entry'!$D$15:$O$15</definedName>
    <definedName name="Control_10">'Control Entry'!$D$24:$O$24</definedName>
    <definedName name="Control_11" localSheetId="1">'Control Entry'!#REF!</definedName>
    <definedName name="Control_11" localSheetId="2">'Control Entry'!#REF!</definedName>
    <definedName name="Control_11">'Control Entry'!#REF!</definedName>
    <definedName name="Control_12" localSheetId="1">'Control Entry'!#REF!</definedName>
    <definedName name="Control_12" localSheetId="2">'Control Entry'!#REF!</definedName>
    <definedName name="Control_12">'Control Entry'!#REF!</definedName>
    <definedName name="Control_13" localSheetId="1">'Control Entry'!#REF!</definedName>
    <definedName name="Control_13" localSheetId="2">'Control Entry'!#REF!</definedName>
    <definedName name="Control_13">'Control Entry'!#REF!</definedName>
    <definedName name="Control_14" localSheetId="1">'Control Entry'!#REF!</definedName>
    <definedName name="Control_14" localSheetId="2">'Control Entry'!#REF!</definedName>
    <definedName name="Control_14">'Control Entry'!#REF!</definedName>
    <definedName name="Control_15" localSheetId="1">'Control Entry'!#REF!</definedName>
    <definedName name="Control_15" localSheetId="2">'Control Entry'!#REF!</definedName>
    <definedName name="Control_15">'Control Entry'!#REF!</definedName>
    <definedName name="Control_16" localSheetId="1">'Control Entry'!#REF!</definedName>
    <definedName name="Control_16" localSheetId="2">'Control Entry'!#REF!</definedName>
    <definedName name="Control_16">'Control Entry'!#REF!</definedName>
    <definedName name="Control_17" localSheetId="1">'Control Entry'!#REF!</definedName>
    <definedName name="Control_17" localSheetId="2">'Control Entry'!#REF!</definedName>
    <definedName name="Control_17">'Control Entry'!#REF!</definedName>
    <definedName name="Control_18" localSheetId="1">'Control Entry'!#REF!</definedName>
    <definedName name="Control_18" localSheetId="2">'Control Entry'!#REF!</definedName>
    <definedName name="Control_18">'Control Entry'!#REF!</definedName>
    <definedName name="Control_19" localSheetId="1">'Control Entry'!#REF!</definedName>
    <definedName name="Control_19" localSheetId="2">'Control Entry'!#REF!</definedName>
    <definedName name="Control_19">'Control Entry'!#REF!</definedName>
    <definedName name="Control_2">'Control Entry'!$D$16:$O$16</definedName>
    <definedName name="Control_20" localSheetId="1">'Control Entry'!#REF!</definedName>
    <definedName name="Control_20" localSheetId="2">'Control Entry'!#REF!</definedName>
    <definedName name="Control_20">'Control Entry'!#REF!</definedName>
    <definedName name="Control_3">'Control Entry'!$D$17:$O$17</definedName>
    <definedName name="Control_4">'Control Entry'!$D$18:$O$18</definedName>
    <definedName name="Control_5">'Control Entry'!$D$19:$O$19</definedName>
    <definedName name="Control_6">'Control Entry'!$D$20:$O$20</definedName>
    <definedName name="Control_7">'Control Entry'!$D$21:$O$21</definedName>
    <definedName name="Control_8">'Control Entry'!$D$22:$O$22</definedName>
    <definedName name="Control_9">'Control Entry'!$D$23:$O$23</definedName>
    <definedName name="Country" localSheetId="1">#REF!</definedName>
    <definedName name="Country" localSheetId="2">#REF!</definedName>
    <definedName name="Country">#REF!</definedName>
    <definedName name="Distance">'Control Entry'!$D$15:$D$24</definedName>
    <definedName name="email" localSheetId="1">#REF!</definedName>
    <definedName name="email" localSheetId="2">#REF!</definedName>
    <definedName name="email">#REF!</definedName>
    <definedName name="Establishment_1">'Control Entry'!$F$15:$F$24</definedName>
    <definedName name="Establishment_2">'Control Entry'!$G$15:$G$24</definedName>
    <definedName name="Establishment_3">'Control Entry'!$H$15:$H$24</definedName>
    <definedName name="Fax" localSheetId="1">#REF!</definedName>
    <definedName name="Fax" localSheetId="2">#REF!</definedName>
    <definedName name="Fax">#REF!</definedName>
    <definedName name="First_Name" localSheetId="1">#REF!</definedName>
    <definedName name="First_Name" localSheetId="2">#REF!</definedName>
    <definedName name="First_Name">#REF!</definedName>
    <definedName name="Home_telephone" localSheetId="1">#REF!</definedName>
    <definedName name="Home_telephone" localSheetId="2">#REF!</definedName>
    <definedName name="Home_telephone">#REF!</definedName>
    <definedName name="HTML_CodePage" hidden="1">1252</definedName>
    <definedName name="HTML_Control" hidden="1">{"'Web sheet'!$A$1:$D$92"}</definedName>
    <definedName name="HTML_Description" hidden="1">""</definedName>
    <definedName name="HTML_Email" hidden="1">"randos@island.net"</definedName>
    <definedName name="HTML_Header" hidden="1">"Web sheet"</definedName>
    <definedName name="HTML_LastUpdate" hidden="1">"99-03-06"</definedName>
    <definedName name="HTML_LineAfter" hidden="1">TRUE</definedName>
    <definedName name="HTML_LineBefore" hidden="1">TRUE</definedName>
    <definedName name="HTML_Name" hidden="1">"Stephen Hinde"</definedName>
    <definedName name="HTML_OBDlg2" hidden="1">TRUE</definedName>
    <definedName name="HTML_OBDlg4" hidden="1">TRUE</definedName>
    <definedName name="HTML_OS" hidden="1">0</definedName>
    <definedName name="HTML_PathFile" hidden="1">"C:\My Documents\excel\MyHTML.htm"</definedName>
    <definedName name="HTML_Title" hidden="1">"VI0100B Nanaimo Populaire"</definedName>
    <definedName name="HTML1_1" hidden="1">"'[vi0100b.xls]VI0100B 970310'!$A$3:$D$22"</definedName>
    <definedName name="HTML1_10" hidden="1">"randos@island.net"</definedName>
    <definedName name="HTML1_11" hidden="1">1</definedName>
    <definedName name="HTML1_12" hidden="1">"C:\My Documents\Web Page\vi0100b.htm"</definedName>
    <definedName name="HTML1_2" hidden="1">1</definedName>
    <definedName name="HTML1_3" hidden="1">"100 km Populaire"</definedName>
    <definedName name="HTML1_4" hidden="1">"VI0100B 970310"</definedName>
    <definedName name="HTML1_5" hidden="1">"Nanaimo--Lantzville--Nanaimo--Yellow Point--Nanaimo"</definedName>
    <definedName name="HTML1_6" hidden="1">1</definedName>
    <definedName name="HTML1_7" hidden="1">1</definedName>
    <definedName name="HTML1_8" hidden="1">"26/10/97"</definedName>
    <definedName name="HTML1_9" hidden="1">"Stephen Hinde"</definedName>
    <definedName name="HTML2_1" hidden="1">"'[vi0100b.xls]VI0100B 970310'!$A$1:$D$22"</definedName>
    <definedName name="HTML2_10" hidden="1">"randos@island.net"</definedName>
    <definedName name="HTML2_11" hidden="1">1</definedName>
    <definedName name="HTML2_12" hidden="1">"C:\My Documents\Web Page\vi0100b.htm"</definedName>
    <definedName name="HTML2_2" hidden="1">1</definedName>
    <definedName name="HTML2_3" hidden="1">"100 km Populaire"</definedName>
    <definedName name="HTML2_4" hidden="1">"VI0100B 970310"</definedName>
    <definedName name="HTML2_5" hidden="1">"Nanaimo--Lantzville--Nanaimo--Yellow Point--Nanaimo"</definedName>
    <definedName name="HTML2_6" hidden="1">1</definedName>
    <definedName name="HTML2_7" hidden="1">1</definedName>
    <definedName name="HTML2_8" hidden="1">"26/10/97"</definedName>
    <definedName name="HTML2_9" hidden="1">"Stephen Hinde"</definedName>
    <definedName name="HTML3_1" hidden="1">"'[vi0100b.xls]VI0100B 970310'!$A$1:$D$24"</definedName>
    <definedName name="HTML3_10" hidden="1">"randos@island.net"</definedName>
    <definedName name="HTML3_11" hidden="1">1</definedName>
    <definedName name="HTML3_12" hidden="1">"C:\My Documents\excel\vi0100b.htm"</definedName>
    <definedName name="HTML3_2" hidden="1">1</definedName>
    <definedName name="HTML3_3" hidden="1">"Vancouver Island Populaire"</definedName>
    <definedName name="HTML3_4" hidden="1">"VI0100B 970310"</definedName>
    <definedName name="HTML3_5" hidden="1">"Nanaimo--Lantzville--Yellow Point--Nanaimo"</definedName>
    <definedName name="HTML3_6" hidden="1">1</definedName>
    <definedName name="HTML3_7" hidden="1">1</definedName>
    <definedName name="HTML3_8" hidden="1">"26/10/97"</definedName>
    <definedName name="HTML3_9" hidden="1">"Stephen Hinde"</definedName>
    <definedName name="HTML4_1" hidden="1">"'[VI0100B.xls]VI0100B 971026'!$A$1:$I$47"</definedName>
    <definedName name="HTML4_10" hidden="1">""</definedName>
    <definedName name="HTML4_11" hidden="1">1</definedName>
    <definedName name="HTML4_12" hidden="1">"C:\My Documents\Web Page\VI0100B.htm"</definedName>
    <definedName name="HTML4_2" hidden="1">1</definedName>
    <definedName name="HTML4_3" hidden="1">"VI0100B"</definedName>
    <definedName name="HTML4_4" hidden="1">"VI0100B 971026"</definedName>
    <definedName name="HTML4_5" hidden="1">""</definedName>
    <definedName name="HTML4_6" hidden="1">-4146</definedName>
    <definedName name="HTML4_7" hidden="1">-4146</definedName>
    <definedName name="HTML4_8" hidden="1">"26/10/97"</definedName>
    <definedName name="HTML4_9" hidden="1">"Stephen Hinde"</definedName>
    <definedName name="HTML5_1" hidden="1">"'[VI0100B.xls]VI0100B 971026'!$A$1:$I$23"</definedName>
    <definedName name="HTML5_10" hidden="1">""</definedName>
    <definedName name="HTML5_11" hidden="1">1</definedName>
    <definedName name="HTML5_12" hidden="1">"C:\My Documents\Web Page\VI0100B top.htm"</definedName>
    <definedName name="HTML5_2" hidden="1">1</definedName>
    <definedName name="HTML5_3" hidden="1">"VI0100B"</definedName>
    <definedName name="HTML5_4" hidden="1">"VI0100B 971026"</definedName>
    <definedName name="HTML5_5" hidden="1">""</definedName>
    <definedName name="HTML5_6" hidden="1">-4146</definedName>
    <definedName name="HTML5_7" hidden="1">-4146</definedName>
    <definedName name="HTML5_8" hidden="1">"97-10-26"</definedName>
    <definedName name="HTML5_9" hidden="1">"Stephen Hinde"</definedName>
    <definedName name="HTML6_1" hidden="1">"'[VI0100B.xls]VI0100B 971026'!$A$25:$I$47"</definedName>
    <definedName name="HTML6_10" hidden="1">""</definedName>
    <definedName name="HTML6_11" hidden="1">1</definedName>
    <definedName name="HTML6_12" hidden="1">"C:\My Documents\Web Page\VI0100B bottom"</definedName>
    <definedName name="HTML6_2" hidden="1">1</definedName>
    <definedName name="HTML6_3" hidden="1">"VI0100B"</definedName>
    <definedName name="HTML6_4" hidden="1">"VI0100B 971026"</definedName>
    <definedName name="HTML6_5" hidden="1">""</definedName>
    <definedName name="HTML6_6" hidden="1">-4146</definedName>
    <definedName name="HTML6_7" hidden="1">-4146</definedName>
    <definedName name="HTML6_8" hidden="1">"97-10-26"</definedName>
    <definedName name="HTML6_9" hidden="1">"Stephen Hinde"</definedName>
    <definedName name="HTML7_1" hidden="1">"'[VI0200A  Tour of Cowichan Valley.xls]Web sheet'!$A$1:$E$92"</definedName>
    <definedName name="HTML7_10" hidden="1">"randos@island.net"</definedName>
    <definedName name="HTML7_11" hidden="1">1</definedName>
    <definedName name="HTML7_12" hidden="1">"C:\My Documents\Web Page\200km_route_sheet.htm"</definedName>
    <definedName name="HTML7_2" hidden="1">1</definedName>
    <definedName name="HTML7_3" hidden="1">"VI0200A  Tour of Cowichan Valley"</definedName>
    <definedName name="HTML7_4" hidden="1">"Vancouver Island 200 km Brevet"</definedName>
    <definedName name="HTML7_5" hidden="1">""</definedName>
    <definedName name="HTML7_6" hidden="1">1</definedName>
    <definedName name="HTML7_7" hidden="1">1</definedName>
    <definedName name="HTML7_8" hidden="1">"97-11-23"</definedName>
    <definedName name="HTML7_9" hidden="1">"Stephen Hinde"</definedName>
    <definedName name="HTML8_1" hidden="1">"'[VI0300A  Duncan--Victoria.xls]Web sheet'!$A$1:$E$161"</definedName>
    <definedName name="HTML8_10" hidden="1">"randos@island.net"</definedName>
    <definedName name="HTML8_11" hidden="1">1</definedName>
    <definedName name="HTML8_12" hidden="1">"C:\My Documents\Web Page\300km_route_sheet_duncan.htm"</definedName>
    <definedName name="HTML8_2" hidden="1">1</definedName>
    <definedName name="HTML8_3" hidden="1">"VI0300A  Duncan--Victoria"</definedName>
    <definedName name="HTML8_4" hidden="1">"Web sheet"</definedName>
    <definedName name="HTML8_5" hidden="1">""</definedName>
    <definedName name="HTML8_6" hidden="1">1</definedName>
    <definedName name="HTML8_7" hidden="1">1</definedName>
    <definedName name="HTML8_8" hidden="1">"98-01-25"</definedName>
    <definedName name="HTML8_9" hidden="1">"Stephen Hinde"</definedName>
    <definedName name="HTMLCount" hidden="1">8</definedName>
    <definedName name="Initial" localSheetId="1">#REF!</definedName>
    <definedName name="Initial" localSheetId="2">#REF!</definedName>
    <definedName name="Initial">#REF!</definedName>
    <definedName name="Locale">'Control Entry'!$E$15:$E$24</definedName>
    <definedName name="Max_time">'Control Entry'!$B$7</definedName>
    <definedName name="Open">'Control Entry'!$L$15:$L$24</definedName>
    <definedName name="Open_time">'Control Entry'!$N$15:$N$24</definedName>
    <definedName name="Postal_Code" localSheetId="1">#REF!</definedName>
    <definedName name="Postal_Code" localSheetId="2">#REF!</definedName>
    <definedName name="Postal_Code">#REF!</definedName>
    <definedName name="_xlnm.Print_Area" localSheetId="1">'Card #1'!$A$1:$K$55</definedName>
    <definedName name="_xlnm.Print_Area" localSheetId="2">'Card #2'!$A$1:$K$55</definedName>
    <definedName name="Province_State" localSheetId="1">#REF!</definedName>
    <definedName name="Province_State" localSheetId="2">#REF!</definedName>
    <definedName name="Province_State">#REF!</definedName>
    <definedName name="Start_date">'Control Entry'!$B$12</definedName>
    <definedName name="Start_time">'Control Entry'!$B$13</definedName>
    <definedName name="surname" localSheetId="1">#REF!</definedName>
    <definedName name="surname" localSheetId="2">#REF!</definedName>
    <definedName name="surname">#REF!</definedName>
    <definedName name="Work_telephone" localSheetId="1">#REF!</definedName>
    <definedName name="Work_telephone" localSheetId="2">#REF!</definedName>
    <definedName name="Work_telephon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G50" i="8" l="1"/>
  <c r="G49" i="8"/>
  <c r="G48" i="8"/>
  <c r="F50" i="8"/>
  <c r="F49" i="8"/>
  <c r="F48" i="8"/>
  <c r="E49" i="8"/>
  <c r="B49" i="8"/>
  <c r="G47" i="8"/>
  <c r="G46" i="8"/>
  <c r="G45" i="8"/>
  <c r="F47" i="8"/>
  <c r="F46" i="8"/>
  <c r="F45" i="8"/>
  <c r="E46" i="8"/>
  <c r="B46" i="8"/>
  <c r="G44" i="8"/>
  <c r="G43" i="8"/>
  <c r="G42" i="8"/>
  <c r="F44" i="8"/>
  <c r="F43" i="8"/>
  <c r="F42" i="8"/>
  <c r="E43" i="8"/>
  <c r="B43" i="8"/>
  <c r="G41" i="8"/>
  <c r="G40" i="8"/>
  <c r="G39" i="8"/>
  <c r="F41" i="8"/>
  <c r="F40" i="8"/>
  <c r="F39" i="8"/>
  <c r="E40" i="8"/>
  <c r="B40" i="8"/>
  <c r="G38" i="8"/>
  <c r="G37" i="8"/>
  <c r="G36" i="8"/>
  <c r="F38" i="8"/>
  <c r="F37" i="8"/>
  <c r="F36" i="8"/>
  <c r="E37" i="8"/>
  <c r="B37" i="8"/>
  <c r="G35" i="8"/>
  <c r="G34" i="8"/>
  <c r="G33" i="8"/>
  <c r="F35" i="8"/>
  <c r="F34" i="8"/>
  <c r="F33" i="8"/>
  <c r="E34" i="8"/>
  <c r="B34" i="8"/>
  <c r="G32" i="8"/>
  <c r="G31" i="8"/>
  <c r="G30" i="8"/>
  <c r="F32" i="8"/>
  <c r="F31" i="8"/>
  <c r="F30" i="8"/>
  <c r="E31" i="8"/>
  <c r="B31" i="8"/>
  <c r="G29" i="8"/>
  <c r="G28" i="8"/>
  <c r="G26" i="8"/>
  <c r="G25" i="8"/>
  <c r="G27" i="8"/>
  <c r="F29" i="8"/>
  <c r="F28" i="8"/>
  <c r="F27" i="8"/>
  <c r="E28" i="8"/>
  <c r="B28" i="8"/>
  <c r="G24" i="8"/>
  <c r="F26" i="8"/>
  <c r="F25" i="8"/>
  <c r="F24" i="8"/>
  <c r="E25" i="8"/>
  <c r="B25" i="8"/>
  <c r="B22" i="8"/>
  <c r="G23" i="8"/>
  <c r="G22" i="8"/>
  <c r="G21" i="8"/>
  <c r="F23" i="8"/>
  <c r="F22" i="8"/>
  <c r="F21" i="8"/>
  <c r="E22" i="8"/>
  <c r="C54" i="8"/>
  <c r="J52" i="8"/>
  <c r="I12" i="8"/>
  <c r="F12" i="8"/>
  <c r="E5" i="8"/>
  <c r="E4" i="8"/>
  <c r="J3" i="8"/>
  <c r="J2" i="8"/>
  <c r="M37" i="1"/>
  <c r="O37" i="1" s="1"/>
  <c r="D49" i="8" s="1"/>
  <c r="L37" i="1"/>
  <c r="N37" i="1" s="1"/>
  <c r="C48" i="8" s="1"/>
  <c r="N36" i="1"/>
  <c r="C47" i="8" s="1"/>
  <c r="M36" i="1"/>
  <c r="O36" i="1" s="1"/>
  <c r="D47" i="8" s="1"/>
  <c r="L36" i="1"/>
  <c r="N35" i="1"/>
  <c r="C42" i="8" s="1"/>
  <c r="M35" i="1"/>
  <c r="O35" i="1" s="1"/>
  <c r="D43" i="8" s="1"/>
  <c r="L35" i="1"/>
  <c r="N34" i="1"/>
  <c r="C41" i="8" s="1"/>
  <c r="M34" i="1"/>
  <c r="O34" i="1" s="1"/>
  <c r="D41" i="8" s="1"/>
  <c r="L34" i="1"/>
  <c r="N33" i="1"/>
  <c r="C36" i="8" s="1"/>
  <c r="M33" i="1"/>
  <c r="O33" i="1" s="1"/>
  <c r="D37" i="8" s="1"/>
  <c r="L33" i="1"/>
  <c r="N32" i="1"/>
  <c r="C35" i="8" s="1"/>
  <c r="M32" i="1"/>
  <c r="O32" i="1" s="1"/>
  <c r="D35" i="8" s="1"/>
  <c r="L32" i="1"/>
  <c r="M31" i="1"/>
  <c r="O31" i="1" s="1"/>
  <c r="D31" i="8" s="1"/>
  <c r="L31" i="1"/>
  <c r="N31" i="1" s="1"/>
  <c r="C30" i="8" s="1"/>
  <c r="M30" i="1"/>
  <c r="O30" i="1" s="1"/>
  <c r="D28" i="8" s="1"/>
  <c r="L30" i="1"/>
  <c r="N30" i="1" s="1"/>
  <c r="C27" i="8" s="1"/>
  <c r="O29" i="1"/>
  <c r="D25" i="8" s="1"/>
  <c r="M29" i="1"/>
  <c r="L29" i="1"/>
  <c r="N29" i="1" s="1"/>
  <c r="C24" i="8" s="1"/>
  <c r="M28" i="1"/>
  <c r="L28" i="1"/>
  <c r="D50" i="8" l="1"/>
  <c r="C31" i="8"/>
  <c r="D44" i="8"/>
  <c r="D39" i="8"/>
  <c r="C43" i="8"/>
  <c r="C28" i="8"/>
  <c r="D32" i="8"/>
  <c r="D26" i="8"/>
  <c r="D38" i="8"/>
  <c r="C49" i="8"/>
  <c r="C25" i="8"/>
  <c r="D29" i="8"/>
  <c r="D33" i="8"/>
  <c r="C37" i="8"/>
  <c r="D45" i="8"/>
  <c r="C26" i="8"/>
  <c r="C29" i="8"/>
  <c r="C32" i="8"/>
  <c r="C33" i="8"/>
  <c r="D34" i="8"/>
  <c r="C38" i="8"/>
  <c r="C39" i="8"/>
  <c r="D40" i="8"/>
  <c r="C44" i="8"/>
  <c r="C45" i="8"/>
  <c r="D46" i="8"/>
  <c r="C50" i="8"/>
  <c r="D24" i="8"/>
  <c r="D27" i="8"/>
  <c r="D30" i="8"/>
  <c r="C34" i="8"/>
  <c r="D36" i="8"/>
  <c r="C40" i="8"/>
  <c r="D42" i="8"/>
  <c r="C46" i="8"/>
  <c r="D48" i="8"/>
  <c r="L7" i="1"/>
  <c r="E5" i="7" l="1"/>
  <c r="G50" i="7"/>
  <c r="G49" i="7"/>
  <c r="G48" i="7"/>
  <c r="G47" i="7"/>
  <c r="G46" i="7"/>
  <c r="G45" i="7"/>
  <c r="G44" i="7"/>
  <c r="G43" i="7"/>
  <c r="G42" i="7"/>
  <c r="G41" i="7"/>
  <c r="G40" i="7"/>
  <c r="G39" i="7"/>
  <c r="G38" i="7"/>
  <c r="G37" i="7"/>
  <c r="G36" i="7"/>
  <c r="G35" i="7"/>
  <c r="G34" i="7"/>
  <c r="G33" i="7"/>
  <c r="G32" i="7"/>
  <c r="G31" i="7"/>
  <c r="G30" i="7"/>
  <c r="G29" i="7"/>
  <c r="G28" i="7"/>
  <c r="G27" i="7"/>
  <c r="G26" i="7"/>
  <c r="G25" i="7"/>
  <c r="G24" i="7"/>
  <c r="G23" i="7"/>
  <c r="G22" i="7"/>
  <c r="G21" i="7"/>
  <c r="F50" i="7"/>
  <c r="F49" i="7"/>
  <c r="E49" i="7"/>
  <c r="B49" i="7"/>
  <c r="F48" i="7"/>
  <c r="F47" i="7"/>
  <c r="F46" i="7"/>
  <c r="E46" i="7"/>
  <c r="B46" i="7"/>
  <c r="F45" i="7"/>
  <c r="F44" i="7"/>
  <c r="F43" i="7"/>
  <c r="E43" i="7"/>
  <c r="B43" i="7"/>
  <c r="F42" i="7"/>
  <c r="F41" i="7"/>
  <c r="F40" i="7"/>
  <c r="E40" i="7"/>
  <c r="B40" i="7"/>
  <c r="F39" i="7"/>
  <c r="F38" i="7"/>
  <c r="F37" i="7"/>
  <c r="E37" i="7"/>
  <c r="B37" i="7"/>
  <c r="F36" i="7"/>
  <c r="F35" i="7"/>
  <c r="F34" i="7"/>
  <c r="E34" i="7"/>
  <c r="B34" i="7"/>
  <c r="F33" i="7"/>
  <c r="F32" i="7"/>
  <c r="F31" i="7"/>
  <c r="E31" i="7"/>
  <c r="B31" i="7"/>
  <c r="F30" i="7"/>
  <c r="F29" i="7"/>
  <c r="F28" i="7"/>
  <c r="E28" i="7"/>
  <c r="B28" i="7"/>
  <c r="F27" i="7"/>
  <c r="F26" i="7"/>
  <c r="F25" i="7"/>
  <c r="E25" i="7"/>
  <c r="B25" i="7"/>
  <c r="F24" i="7"/>
  <c r="F23" i="7"/>
  <c r="F22" i="7"/>
  <c r="E22" i="7"/>
  <c r="B22" i="7"/>
  <c r="F21" i="7"/>
  <c r="J52" i="7" l="1"/>
  <c r="I12" i="7"/>
  <c r="F12" i="7"/>
  <c r="J2" i="7"/>
  <c r="C54" i="7"/>
  <c r="J3" i="7"/>
  <c r="E4" i="7" l="1"/>
  <c r="L15" i="1" l="1"/>
  <c r="N15" i="1" s="1"/>
  <c r="C6" i="1"/>
  <c r="L24" i="1"/>
  <c r="L23" i="1"/>
  <c r="L22" i="1"/>
  <c r="L21" i="1"/>
  <c r="L20" i="1"/>
  <c r="L19" i="1"/>
  <c r="L18" i="1"/>
  <c r="L17" i="1"/>
  <c r="L16" i="1"/>
  <c r="N28" i="1" l="1"/>
  <c r="O28" i="1"/>
  <c r="M16" i="1"/>
  <c r="C22" i="7"/>
  <c r="C23" i="7"/>
  <c r="C21" i="7"/>
  <c r="B7" i="1"/>
  <c r="M21" i="1" s="1"/>
  <c r="O21" i="1" s="1"/>
  <c r="O16" i="1"/>
  <c r="M19" i="1"/>
  <c r="O19" i="1" s="1"/>
  <c r="M18" i="1"/>
  <c r="O18" i="1" s="1"/>
  <c r="M17" i="1"/>
  <c r="O17" i="1" s="1"/>
  <c r="M15" i="1"/>
  <c r="O15" i="1" s="1"/>
  <c r="N18" i="1"/>
  <c r="N22" i="1"/>
  <c r="N17" i="1"/>
  <c r="N21" i="1"/>
  <c r="N24" i="1"/>
  <c r="N16" i="1"/>
  <c r="N20" i="1"/>
  <c r="N19" i="1"/>
  <c r="N23" i="1"/>
  <c r="C21" i="8" l="1"/>
  <c r="C23" i="8"/>
  <c r="C22" i="8"/>
  <c r="D21" i="8"/>
  <c r="D22" i="8"/>
  <c r="D23" i="8"/>
  <c r="M24" i="1"/>
  <c r="O24" i="1" s="1"/>
  <c r="M23" i="1"/>
  <c r="O23" i="1" s="1"/>
  <c r="M20" i="1"/>
  <c r="O20" i="1" s="1"/>
  <c r="M22" i="1"/>
  <c r="O22" i="1" s="1"/>
  <c r="D29" i="7"/>
  <c r="D28" i="7"/>
  <c r="D27" i="7"/>
  <c r="C26" i="7"/>
  <c r="C25" i="7"/>
  <c r="C24" i="7"/>
  <c r="D26" i="7"/>
  <c r="D24" i="7"/>
  <c r="D25" i="7"/>
  <c r="C47" i="7"/>
  <c r="C45" i="7"/>
  <c r="C46" i="7"/>
  <c r="D41" i="7"/>
  <c r="D40" i="7"/>
  <c r="D39" i="7"/>
  <c r="C39" i="7"/>
  <c r="C41" i="7"/>
  <c r="C40" i="7"/>
  <c r="C43" i="7"/>
  <c r="C42" i="7"/>
  <c r="C44" i="7"/>
  <c r="C31" i="7"/>
  <c r="C32" i="7"/>
  <c r="C30" i="7"/>
  <c r="D23" i="7"/>
  <c r="D21" i="7"/>
  <c r="D22" i="7"/>
  <c r="C50" i="7"/>
  <c r="C49" i="7"/>
  <c r="C48" i="7"/>
  <c r="C35" i="7"/>
  <c r="C33" i="7"/>
  <c r="C34" i="7"/>
  <c r="C38" i="7"/>
  <c r="C37" i="7"/>
  <c r="C36" i="7"/>
  <c r="C29" i="7"/>
  <c r="C27" i="7"/>
  <c r="C28" i="7"/>
  <c r="D35" i="7"/>
  <c r="D33" i="7"/>
  <c r="D34" i="7"/>
  <c r="D31" i="7"/>
  <c r="D32" i="7"/>
  <c r="D30" i="7"/>
  <c r="D37" i="7" l="1"/>
  <c r="D47" i="7"/>
  <c r="D50" i="7"/>
  <c r="D44" i="7"/>
  <c r="D48" i="7"/>
  <c r="D49" i="7"/>
  <c r="D38" i="7"/>
  <c r="D36" i="7"/>
  <c r="D42" i="7"/>
  <c r="D46" i="7"/>
  <c r="D45" i="7"/>
  <c r="D43"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Stephen Hinde</author>
    <author>A satisfied Microsoft Office user</author>
  </authors>
  <commentList>
    <comment ref="B4" authorId="0" shapeId="0" xr:uid="{4563209B-AACD-704D-A715-734D9228E28F}">
      <text>
        <r>
          <rPr>
            <b/>
            <sz val="10"/>
            <color rgb="FF000000"/>
            <rFont val="Tahoma"/>
            <family val="2"/>
          </rPr>
          <t>Stephen Hinde:</t>
        </r>
        <r>
          <rPr>
            <sz val="10"/>
            <color rgb="FF000000"/>
            <rFont val="Tahoma"/>
            <family val="2"/>
          </rPr>
          <t xml:space="preserve">Revision date of the brevet details on this sheet
</t>
        </r>
        <r>
          <rPr>
            <sz val="10"/>
            <color rgb="FF000000"/>
            <rFont val="Tahoma"/>
            <family val="2"/>
          </rPr>
          <t>Date format:  ddmmmyy eg 05may24</t>
        </r>
      </text>
    </comment>
    <comment ref="B6" authorId="0" shapeId="0" xr:uid="{00000000-0006-0000-0000-000001000000}">
      <text>
        <r>
          <rPr>
            <b/>
            <sz val="10"/>
            <color rgb="FF000000"/>
            <rFont val="Tahoma"/>
            <family val="2"/>
          </rPr>
          <t>Stephen Hinde:</t>
        </r>
        <r>
          <rPr>
            <sz val="10"/>
            <color rgb="FF000000"/>
            <rFont val="Tahoma"/>
            <family val="2"/>
          </rPr>
          <t xml:space="preserve">
</t>
        </r>
        <r>
          <rPr>
            <sz val="10"/>
            <color rgb="FF000000"/>
            <rFont val="Tahoma"/>
            <family val="2"/>
          </rPr>
          <t xml:space="preserve">Nominal ACP distance
</t>
        </r>
        <r>
          <rPr>
            <sz val="10"/>
            <color rgb="FF000000"/>
            <rFont val="Tahoma"/>
            <family val="2"/>
          </rPr>
          <t xml:space="preserve">1200, 1000, 600, 400, 300, 200, 150, 100, 50, 25
</t>
        </r>
      </text>
    </comment>
    <comment ref="B7" authorId="1" shapeId="0" xr:uid="{00000000-0006-0000-0000-000002000000}">
      <text>
        <r>
          <rPr>
            <sz val="8"/>
            <color rgb="FF000000"/>
            <rFont val="Tahoma"/>
            <family val="2"/>
          </rPr>
          <t>Autocalculated based on ACP specified times</t>
        </r>
      </text>
    </comment>
    <comment ref="B8" authorId="0" shapeId="0" xr:uid="{3C1C451D-6AE0-F242-A53A-80693F934BEF}">
      <text>
        <r>
          <rPr>
            <b/>
            <sz val="10"/>
            <color rgb="FF000000"/>
            <rFont val="Tahoma"/>
            <family val="2"/>
          </rPr>
          <t>Stephen Hinde:</t>
        </r>
        <r>
          <rPr>
            <sz val="10"/>
            <color rgb="FF000000"/>
            <rFont val="Tahoma"/>
            <family val="2"/>
          </rPr>
          <t xml:space="preserve">
</t>
        </r>
        <r>
          <rPr>
            <sz val="10"/>
            <color rgb="FF000000"/>
            <rFont val="Tahoma"/>
            <family val="2"/>
          </rPr>
          <t xml:space="preserve">Name of event
</t>
        </r>
      </text>
    </comment>
    <comment ref="B9" authorId="0" shapeId="0" xr:uid="{00000000-0006-0000-0000-000003000000}">
      <text>
        <r>
          <rPr>
            <b/>
            <sz val="10"/>
            <color rgb="FF000000"/>
            <rFont val="Tahoma"/>
            <family val="2"/>
          </rPr>
          <t>Stephen Hinde:</t>
        </r>
        <r>
          <rPr>
            <sz val="10"/>
            <color rgb="FF000000"/>
            <rFont val="Tahoma"/>
            <family val="2"/>
          </rPr>
          <t xml:space="preserve">
</t>
        </r>
        <r>
          <rPr>
            <sz val="10"/>
            <color rgb="FF000000"/>
            <rFont val="Tahoma"/>
            <family val="2"/>
          </rPr>
          <t>On event page</t>
        </r>
      </text>
    </comment>
    <comment ref="B10" authorId="0" shapeId="0" xr:uid="{00000000-0006-0000-0000-000004000000}">
      <text>
        <r>
          <rPr>
            <b/>
            <sz val="10"/>
            <color rgb="FF000000"/>
            <rFont val="Tahoma"/>
            <family val="2"/>
          </rPr>
          <t>Stephen Hinde:</t>
        </r>
        <r>
          <rPr>
            <sz val="10"/>
            <color rgb="FF000000"/>
            <rFont val="Tahoma"/>
            <family val="2"/>
          </rPr>
          <t xml:space="preserve">
</t>
        </r>
        <r>
          <rPr>
            <sz val="10"/>
            <color rgb="FF000000"/>
            <rFont val="Tahoma"/>
            <family val="2"/>
          </rPr>
          <t>Official ACP date</t>
        </r>
      </text>
    </comment>
    <comment ref="F10" authorId="0" shapeId="0" xr:uid="{C2700BB7-AC40-4846-9773-3956CB914942}">
      <text>
        <r>
          <rPr>
            <b/>
            <sz val="10"/>
            <color rgb="FF000000"/>
            <rFont val="Tahoma"/>
            <family val="2"/>
          </rPr>
          <t>Stephen Hinde:</t>
        </r>
        <r>
          <rPr>
            <sz val="10"/>
            <color rgb="FF000000"/>
            <rFont val="Tahoma"/>
            <family val="2"/>
          </rPr>
          <t xml:space="preserve">
</t>
        </r>
        <r>
          <rPr>
            <sz val="10"/>
            <color rgb="FF000000"/>
            <rFont val="Tahoma"/>
            <family val="2"/>
          </rPr>
          <t xml:space="preserve">Optional.  </t>
        </r>
      </text>
    </comment>
    <comment ref="B12" authorId="0" shapeId="0" xr:uid="{23558CA1-4512-6144-8D64-23E7C0C33489}">
      <text>
        <r>
          <rPr>
            <b/>
            <sz val="10"/>
            <color rgb="FF000000"/>
            <rFont val="Tahoma"/>
            <family val="2"/>
          </rPr>
          <t>Stephen Hinde:</t>
        </r>
        <r>
          <rPr>
            <sz val="10"/>
            <color rgb="FF000000"/>
            <rFont val="Tahoma"/>
            <family val="2"/>
          </rPr>
          <t xml:space="preserve">
</t>
        </r>
        <r>
          <rPr>
            <sz val="10"/>
            <color rgb="FF000000"/>
            <rFont val="Tahoma"/>
            <family val="2"/>
          </rPr>
          <t xml:space="preserve">Ride date
</t>
        </r>
        <r>
          <rPr>
            <sz val="10"/>
            <color rgb="FF000000"/>
            <rFont val="Tahoma"/>
            <family val="2"/>
          </rPr>
          <t xml:space="preserve">format: ddmmmyy
</t>
        </r>
        <r>
          <rPr>
            <sz val="10"/>
            <color rgb="FF000000"/>
            <rFont val="Tahoma"/>
            <family val="2"/>
          </rPr>
          <t>eg 05may24</t>
        </r>
      </text>
    </comment>
    <comment ref="B13" authorId="0" shapeId="0" xr:uid="{B42762EC-1925-AE46-9F2A-7C3A271E16AF}">
      <text>
        <r>
          <rPr>
            <b/>
            <sz val="10"/>
            <color rgb="FF000000"/>
            <rFont val="Tahoma"/>
            <family val="2"/>
          </rPr>
          <t>Stephen Hinde:</t>
        </r>
        <r>
          <rPr>
            <sz val="10"/>
            <color rgb="FF000000"/>
            <rFont val="Tahoma"/>
            <family val="2"/>
          </rPr>
          <t xml:space="preserve">
</t>
        </r>
        <r>
          <rPr>
            <sz val="10"/>
            <color rgb="FF000000"/>
            <rFont val="Tahoma"/>
            <family val="2"/>
          </rPr>
          <t xml:space="preserve">24hr clock format
</t>
        </r>
        <r>
          <rPr>
            <sz val="10"/>
            <color rgb="FF000000"/>
            <rFont val="Tahoma"/>
            <family val="2"/>
          </rPr>
          <t>hh:mm</t>
        </r>
      </text>
    </comment>
    <comment ref="F14" authorId="0" shapeId="0" xr:uid="{E6B5DB4F-63CC-9A4E-B02A-4C28633B0FBD}">
      <text>
        <r>
          <rPr>
            <b/>
            <sz val="10"/>
            <color rgb="FF000000"/>
            <rFont val="Tahoma"/>
            <family val="2"/>
          </rPr>
          <t>Stephen Hinde:</t>
        </r>
        <r>
          <rPr>
            <sz val="10"/>
            <color rgb="FF000000"/>
            <rFont val="Tahoma"/>
            <family val="2"/>
          </rPr>
          <t xml:space="preserve">
</t>
        </r>
        <r>
          <rPr>
            <sz val="10"/>
            <color rgb="FF000000"/>
            <rFont val="Tahoma"/>
            <family val="2"/>
          </rPr>
          <t xml:space="preserve">It is recommended to put the type of control in this space ie 
</t>
        </r>
        <r>
          <rPr>
            <sz val="10"/>
            <color rgb="FF000000"/>
            <rFont val="Tahoma"/>
            <family val="2"/>
          </rPr>
          <t xml:space="preserve">STAFFED
</t>
        </r>
        <r>
          <rPr>
            <sz val="10"/>
            <color rgb="FF000000"/>
            <rFont val="Tahoma"/>
            <family val="2"/>
          </rPr>
          <t xml:space="preserve">BUSINESS INFORMATION
</t>
        </r>
        <r>
          <rPr>
            <sz val="10"/>
            <color rgb="FF000000"/>
            <rFont val="Tahoma"/>
            <family val="2"/>
          </rPr>
          <t>SELF CHECK</t>
        </r>
      </text>
    </comment>
  </commentList>
</comments>
</file>

<file path=xl/sharedStrings.xml><?xml version="1.0" encoding="utf-8"?>
<sst xmlns="http://schemas.openxmlformats.org/spreadsheetml/2006/main" count="152" uniqueCount="103">
  <si>
    <t>Open</t>
  </si>
  <si>
    <t>Close</t>
  </si>
  <si>
    <t>Open time</t>
  </si>
  <si>
    <t>Close time</t>
  </si>
  <si>
    <t>Control 1</t>
  </si>
  <si>
    <t>Control 2</t>
  </si>
  <si>
    <t>Control 3</t>
  </si>
  <si>
    <t>Control 4</t>
  </si>
  <si>
    <t>Control 5</t>
  </si>
  <si>
    <t>Control 6</t>
  </si>
  <si>
    <t>Control 7</t>
  </si>
  <si>
    <t>Control 8</t>
  </si>
  <si>
    <t>Control 9</t>
  </si>
  <si>
    <t>Control 10</t>
  </si>
  <si>
    <t>Rider's signature at completion</t>
  </si>
  <si>
    <t>Brevet Length:</t>
  </si>
  <si>
    <t>Maximum Time:</t>
  </si>
  <si>
    <t>Brevet Description:</t>
  </si>
  <si>
    <t>Brevet Number:</t>
  </si>
  <si>
    <t>Start Date:</t>
  </si>
  <si>
    <t>Start Time:</t>
  </si>
  <si>
    <t>Distance</t>
  </si>
  <si>
    <t>Locale</t>
  </si>
  <si>
    <t>Establishment 1</t>
  </si>
  <si>
    <t>Establishment 2</t>
  </si>
  <si>
    <t>Establishment 3</t>
  </si>
  <si>
    <t>DIST (km)</t>
  </si>
  <si>
    <t>Establishment</t>
  </si>
  <si>
    <t>Time of Passage</t>
  </si>
  <si>
    <t>Control Card</t>
  </si>
  <si>
    <t>Report results or abandonment through registration email link</t>
  </si>
  <si>
    <t>Member #</t>
  </si>
  <si>
    <t>Schedule date:</t>
  </si>
  <si>
    <t>Founding member of LES RANDONNEURS MONDIAUX (1983)</t>
  </si>
  <si>
    <t>Bicycle Type
Circle one</t>
  </si>
  <si>
    <t>-------&gt;</t>
  </si>
  <si>
    <t>Signature/Answer</t>
  </si>
  <si>
    <t>Signature/Answer 1</t>
  </si>
  <si>
    <t>Signature/Answer 2</t>
  </si>
  <si>
    <t>Signature/Answer 3</t>
  </si>
  <si>
    <t>Instructions</t>
  </si>
  <si>
    <t>Fill nominal brevet length.  This is the ACP distance eg 200, 300, 1000</t>
  </si>
  <si>
    <t>Maximum allowable time automatically calculated</t>
  </si>
  <si>
    <t>Enter the brevet name eg 'Remembrance Day Brevet'</t>
  </si>
  <si>
    <t>Enter the brevet number.  This is the BCR database number, and can be found on the event page in the database</t>
  </si>
  <si>
    <t>Enter the schedule date.  This is the official ACP listed date and can be found on the shcedule on the website</t>
  </si>
  <si>
    <t>When using information controls, you can put your question in the Signature/Answer section eg Sig/Ans.1 Sign on main door  Sig/Ans. 2  This week's special is?  Sig/Ans. 3 ________________</t>
  </si>
  <si>
    <t>Control Card #1 Information Control Question (optional)</t>
  </si>
  <si>
    <t>Enter the start time.  This will be the official ACP listed start time found on the event page, unless a ride window has been enabled.</t>
  </si>
  <si>
    <t>Enter the start date.  This will be the same as the schedule date, exceot for pre-rides or unless a ride window has been enabled.</t>
  </si>
  <si>
    <r>
      <t xml:space="preserve">At each control, please </t>
    </r>
    <r>
      <rPr>
        <b/>
        <i/>
        <sz val="16"/>
        <rFont val="Arial"/>
        <family val="2"/>
      </rPr>
      <t>have signed or answer question</t>
    </r>
    <r>
      <rPr>
        <i/>
        <sz val="16"/>
        <rFont val="Arial"/>
        <family val="2"/>
      </rPr>
      <t xml:space="preserve"> and</t>
    </r>
    <r>
      <rPr>
        <b/>
        <i/>
        <sz val="16"/>
        <rFont val="Arial"/>
        <family val="2"/>
      </rPr>
      <t xml:space="preserve"> note time of day</t>
    </r>
  </si>
  <si>
    <t>Control Card #1</t>
  </si>
  <si>
    <t xml:space="preserve">Template Revised:  </t>
  </si>
  <si>
    <t>Scroll right to see further instructions</t>
  </si>
  <si>
    <t xml:space="preserve">Card Revised:  </t>
  </si>
  <si>
    <t>DO NOT MOVE OR DELETE ROWS OR COLUMNS (delete contents of cells only)</t>
  </si>
  <si>
    <t xml:space="preserve">Organizer: </t>
  </si>
  <si>
    <t>Single     Tandem     Fixed     Recumbent     Velomobile</t>
  </si>
  <si>
    <t>Card revised:</t>
  </si>
  <si>
    <t>Template revised:</t>
  </si>
  <si>
    <t>Brevet #</t>
  </si>
  <si>
    <t>Rider:</t>
  </si>
  <si>
    <t>Finish Date:</t>
  </si>
  <si>
    <t>Start time:</t>
  </si>
  <si>
    <t>Finish time:</t>
  </si>
  <si>
    <t>Elapsed time:</t>
  </si>
  <si>
    <t>Organizer phone #</t>
  </si>
  <si>
    <t>Organizer phone number is optional</t>
  </si>
  <si>
    <t>Fill in the Locale (city) for each control.  Establishment 1, 2, and 3 can be used to describe the control itself eg Locale HOPE  Est.1  BUSINESS Est.2 Dairy Queen Est.3 817 Water Ave .  For a secret control, use SECRET as the locale.</t>
  </si>
  <si>
    <t>Control Card #2</t>
  </si>
  <si>
    <t>Control Card #2 Information Control Question (optional)</t>
  </si>
  <si>
    <t>You can create 2control cards  (upto 20 controls) for one event, or 2control cards (up to 10 controls) with different start loctions for a single event.</t>
  </si>
  <si>
    <t>Fill in the control distance.  The opening and closing times will be automatically calculated based on the start time and the brevet distance.  If you need more than 10 controls, or need an alternate start loction, use card #2, otherwise leave that section blank.</t>
  </si>
  <si>
    <t>(circle)</t>
  </si>
  <si>
    <t>LM June 200</t>
  </si>
  <si>
    <t>Burnaby</t>
  </si>
  <si>
    <t>Abbotsford</t>
  </si>
  <si>
    <t>Langley</t>
  </si>
  <si>
    <t>Coquitlam</t>
  </si>
  <si>
    <t>Starbucks</t>
  </si>
  <si>
    <t>6568 Hastings St</t>
  </si>
  <si>
    <t>Straiton Road &amp;</t>
  </si>
  <si>
    <t>Sumas Mtn Road</t>
  </si>
  <si>
    <t>Birchwood Dairy</t>
  </si>
  <si>
    <t>2nd Ave &amp;</t>
  </si>
  <si>
    <t>B St</t>
  </si>
  <si>
    <t>Allard Crescent &amp;</t>
  </si>
  <si>
    <t>208 St</t>
  </si>
  <si>
    <t>Bert Flinn Park</t>
  </si>
  <si>
    <t>David Ave &amp;</t>
  </si>
  <si>
    <t>Heritage Mountain Blvd</t>
  </si>
  <si>
    <t>Hop &amp; Vine</t>
  </si>
  <si>
    <t>Taphouse</t>
  </si>
  <si>
    <t>Back of Stop Sign</t>
  </si>
  <si>
    <t>Word on tag?</t>
  </si>
  <si>
    <t>Speed limit (mph)?</t>
  </si>
  <si>
    <t>Yellow posted speed sign</t>
  </si>
  <si>
    <t>Township of Langley Sticker</t>
  </si>
  <si>
    <t>6 digit number?</t>
  </si>
  <si>
    <t>Cross Walk Sign</t>
  </si>
  <si>
    <t>Color of zip tie on pole?</t>
  </si>
  <si>
    <t>Hop &amp; Vine Sign Above Entrance</t>
  </si>
  <si>
    <t>What letter is missing?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</si>
</sst>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dd/mmm/yy\ hh:mm\ AM/PM"/>
    <numFmt numFmtId="165" formatCode="d/mmm/yy"/>
    <numFmt numFmtId="166" formatCode="dddd"/>
    <numFmt numFmtId="167" formatCode="0.0"/>
    <numFmt numFmtId="168" formatCode="mmmm\ d\,\ yyyy"/>
    <numFmt numFmtId="169" formatCode="[&lt;=9999999]###\-####;###\-###\-####"/>
  </numFmts>
  <fonts count="36" x14ac:knownFonts="1">
    <font>
      <sz val="10"/>
      <name val="Arial"/>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0"/>
      <name val="Arial"/>
      <family val="2"/>
    </font>
    <font>
      <sz val="12"/>
      <name val="Arial"/>
      <family val="2"/>
    </font>
    <font>
      <sz val="14"/>
      <name val="Arial"/>
      <family val="2"/>
    </font>
    <font>
      <sz val="20"/>
      <name val="Arial"/>
      <family val="2"/>
    </font>
    <font>
      <sz val="36"/>
      <name val="Arial"/>
      <family val="2"/>
    </font>
    <font>
      <sz val="16"/>
      <name val="Arial"/>
      <family val="2"/>
    </font>
    <font>
      <sz val="18"/>
      <name val="Arial"/>
      <family val="2"/>
    </font>
    <font>
      <sz val="14"/>
      <name val="Arial Narrow"/>
      <family val="2"/>
    </font>
    <font>
      <sz val="8"/>
      <name val="Arial"/>
      <family val="2"/>
    </font>
    <font>
      <u/>
      <sz val="10"/>
      <color theme="10"/>
      <name val="Arial"/>
      <family val="2"/>
    </font>
    <font>
      <u/>
      <sz val="10"/>
      <color theme="11"/>
      <name val="Arial"/>
      <family val="2"/>
    </font>
    <font>
      <b/>
      <sz val="16"/>
      <name val="Arial"/>
      <family val="2"/>
    </font>
    <font>
      <sz val="8"/>
      <color rgb="FF000000"/>
      <name val="Tahoma"/>
      <family val="2"/>
    </font>
    <font>
      <i/>
      <sz val="16"/>
      <name val="Arial"/>
      <family val="2"/>
    </font>
    <font>
      <b/>
      <i/>
      <sz val="16"/>
      <name val="Arial"/>
      <family val="2"/>
    </font>
    <font>
      <sz val="16"/>
      <name val="Arial Narrow"/>
      <family val="2"/>
    </font>
    <font>
      <sz val="11"/>
      <color theme="1"/>
      <name val="Calibri"/>
      <family val="2"/>
      <scheme val="minor"/>
    </font>
    <font>
      <sz val="10"/>
      <color rgb="FF000000"/>
      <name val="Tahoma"/>
      <family val="2"/>
    </font>
    <font>
      <b/>
      <sz val="10"/>
      <color rgb="FF000000"/>
      <name val="Tahoma"/>
      <family val="2"/>
    </font>
    <font>
      <sz val="10"/>
      <name val="Arial Narrow"/>
      <family val="2"/>
    </font>
    <font>
      <sz val="16"/>
      <color rgb="FFFF0000"/>
      <name val="Arial"/>
      <family val="2"/>
    </font>
    <font>
      <sz val="9"/>
      <name val="Arial"/>
      <family val="2"/>
    </font>
    <font>
      <sz val="11"/>
      <name val="Arial Narrow"/>
      <family val="2"/>
    </font>
    <font>
      <sz val="22"/>
      <name val="Arial"/>
      <family val="2"/>
    </font>
    <font>
      <b/>
      <sz val="18"/>
      <name val="Arial"/>
      <family val="2"/>
    </font>
    <font>
      <sz val="14"/>
      <color rgb="FFFF0000"/>
      <name val="Arial"/>
      <family val="2"/>
    </font>
    <font>
      <sz val="11"/>
      <name val="Arial"/>
      <family val="2"/>
    </font>
    <font>
      <sz val="11"/>
      <color rgb="FFFF0000"/>
      <name val="Arial"/>
      <family val="2"/>
    </font>
    <font>
      <b/>
      <sz val="22"/>
      <name val="Arial"/>
      <family val="2"/>
    </font>
    <font>
      <sz val="20"/>
      <name val="Arial Narrow"/>
      <family val="2"/>
    </font>
    <font>
      <b/>
      <sz val="20"/>
      <name val="Arial Narrow"/>
      <family val="2"/>
    </font>
  </fonts>
  <fills count="3">
    <fill>
      <patternFill patternType="none"/>
    </fill>
    <fill>
      <patternFill patternType="gray125"/>
    </fill>
    <fill>
      <patternFill patternType="solid">
        <fgColor indexed="22"/>
        <bgColor indexed="64"/>
      </patternFill>
    </fill>
  </fills>
  <borders count="31">
    <border>
      <left/>
      <right/>
      <top/>
      <bottom/>
      <diagonal/>
    </border>
    <border>
      <left style="medium">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bottom style="thin">
        <color auto="1"/>
      </bottom>
      <diagonal/>
    </border>
    <border>
      <left/>
      <right style="medium">
        <color auto="1"/>
      </right>
      <top/>
      <bottom style="thin">
        <color auto="1"/>
      </bottom>
      <diagonal/>
    </border>
    <border>
      <left/>
      <right/>
      <top style="medium">
        <color auto="1"/>
      </top>
      <bottom style="medium">
        <color auto="1"/>
      </bottom>
      <diagonal/>
    </border>
    <border>
      <left style="medium">
        <color auto="1"/>
      </left>
      <right/>
      <top/>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bottom style="thin">
        <color auto="1"/>
      </bottom>
      <diagonal/>
    </border>
    <border>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right style="medium">
        <color auto="1"/>
      </right>
      <top/>
      <bottom/>
      <diagonal/>
    </border>
    <border>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style="medium">
        <color auto="1"/>
      </left>
      <right style="thin">
        <color auto="1"/>
      </right>
      <top style="thin">
        <color auto="1"/>
      </top>
      <bottom style="medium">
        <color auto="1"/>
      </bottom>
      <diagonal/>
    </border>
    <border>
      <left/>
      <right style="thin">
        <color auto="1"/>
      </right>
      <top style="thin">
        <color auto="1"/>
      </top>
      <bottom style="medium">
        <color auto="1"/>
      </bottom>
      <diagonal/>
    </border>
    <border>
      <left style="thin">
        <color indexed="64"/>
      </left>
      <right style="thin">
        <color indexed="64"/>
      </right>
      <top style="thin">
        <color indexed="64"/>
      </top>
      <bottom style="thin">
        <color indexed="64"/>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
      <left style="medium">
        <color auto="1"/>
      </left>
      <right style="medium">
        <color auto="1"/>
      </right>
      <top style="medium">
        <color auto="1"/>
      </top>
      <bottom/>
      <diagonal/>
    </border>
    <border>
      <left/>
      <right/>
      <top/>
      <bottom style="double">
        <color indexed="64"/>
      </bottom>
      <diagonal/>
    </border>
    <border>
      <left style="medium">
        <color auto="1"/>
      </left>
      <right/>
      <top/>
      <bottom style="thin">
        <color auto="1"/>
      </bottom>
      <diagonal/>
    </border>
  </borders>
  <cellStyleXfs count="356">
    <xf numFmtId="0" fontId="0" fillId="0" borderId="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21" fillId="0" borderId="0"/>
    <xf numFmtId="0" fontId="4" fillId="0" borderId="0"/>
    <xf numFmtId="0" fontId="5" fillId="0" borderId="0"/>
    <xf numFmtId="0" fontId="3" fillId="0" borderId="0"/>
    <xf numFmtId="0" fontId="2" fillId="0" borderId="0"/>
    <xf numFmtId="0" fontId="1" fillId="0" borderId="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cellStyleXfs>
  <cellXfs count="141">
    <xf numFmtId="0" fontId="0" fillId="0" borderId="0" xfId="0"/>
    <xf numFmtId="0" fontId="0" fillId="0" borderId="0" xfId="0" applyAlignment="1">
      <alignment horizontal="right"/>
    </xf>
    <xf numFmtId="0" fontId="0" fillId="0" borderId="0" xfId="0" applyProtection="1">
      <protection hidden="1"/>
    </xf>
    <xf numFmtId="164" fontId="0" fillId="0" borderId="0" xfId="0" applyNumberFormat="1"/>
    <xf numFmtId="164" fontId="0" fillId="0" borderId="0" xfId="0" applyNumberFormat="1" applyAlignment="1">
      <alignment horizontal="center" vertical="center" wrapText="1"/>
    </xf>
    <xf numFmtId="0" fontId="0" fillId="2" borderId="11" xfId="0" applyFill="1" applyBorder="1"/>
    <xf numFmtId="0" fontId="0" fillId="2" borderId="12" xfId="0" applyFill="1" applyBorder="1"/>
    <xf numFmtId="0" fontId="0" fillId="2" borderId="10" xfId="0" applyFill="1" applyBorder="1"/>
    <xf numFmtId="0" fontId="7" fillId="2" borderId="15" xfId="0" applyFont="1" applyFill="1" applyBorder="1" applyAlignment="1">
      <alignment horizontal="center"/>
    </xf>
    <xf numFmtId="0" fontId="0" fillId="2" borderId="7" xfId="0" applyFill="1" applyBorder="1" applyAlignment="1">
      <alignment horizontal="right"/>
    </xf>
    <xf numFmtId="0" fontId="0" fillId="2" borderId="1" xfId="0" applyFill="1" applyBorder="1" applyAlignment="1">
      <alignment horizontal="right"/>
    </xf>
    <xf numFmtId="0" fontId="0" fillId="2" borderId="3" xfId="0" applyFill="1" applyBorder="1" applyAlignment="1">
      <alignment horizontal="right"/>
    </xf>
    <xf numFmtId="0" fontId="0" fillId="0" borderId="0" xfId="0" applyAlignment="1">
      <alignment vertical="top" textRotation="90"/>
    </xf>
    <xf numFmtId="0" fontId="0" fillId="0" borderId="0" xfId="0" applyAlignment="1" applyProtection="1">
      <alignment horizontal="centerContinuous"/>
      <protection hidden="1"/>
    </xf>
    <xf numFmtId="0" fontId="0" fillId="0" borderId="0" xfId="0" applyAlignment="1">
      <alignment horizontal="centerContinuous"/>
    </xf>
    <xf numFmtId="167" fontId="0" fillId="0" borderId="13" xfId="0" applyNumberFormat="1" applyBorder="1" applyProtection="1">
      <protection locked="0"/>
    </xf>
    <xf numFmtId="0" fontId="0" fillId="0" borderId="0" xfId="0" applyAlignment="1">
      <alignment horizontal="center"/>
    </xf>
    <xf numFmtId="0" fontId="10" fillId="0" borderId="0" xfId="0" applyFont="1" applyAlignment="1">
      <alignment horizontal="right"/>
    </xf>
    <xf numFmtId="0" fontId="5" fillId="2" borderId="3" xfId="0" applyFont="1" applyFill="1" applyBorder="1" applyAlignment="1">
      <alignment horizontal="right"/>
    </xf>
    <xf numFmtId="0" fontId="10" fillId="0" borderId="0" xfId="0" applyFont="1" applyAlignment="1">
      <alignment vertical="center"/>
    </xf>
    <xf numFmtId="167" fontId="0" fillId="0" borderId="23" xfId="0" applyNumberFormat="1" applyBorder="1" applyProtection="1">
      <protection locked="0"/>
    </xf>
    <xf numFmtId="168" fontId="10" fillId="0" borderId="0" xfId="0" applyNumberFormat="1" applyFont="1" applyAlignment="1">
      <alignment horizontal="center"/>
    </xf>
    <xf numFmtId="0" fontId="10" fillId="0" borderId="0" xfId="0" applyFont="1" applyAlignment="1">
      <alignment horizontal="center"/>
    </xf>
    <xf numFmtId="18" fontId="20" fillId="0" borderId="0" xfId="0" applyNumberFormat="1" applyFont="1" applyAlignment="1">
      <alignment horizontal="center" wrapText="1"/>
    </xf>
    <xf numFmtId="0" fontId="24" fillId="2" borderId="12" xfId="0" applyFont="1" applyFill="1" applyBorder="1"/>
    <xf numFmtId="0" fontId="24" fillId="2" borderId="10" xfId="0" applyFont="1" applyFill="1" applyBorder="1"/>
    <xf numFmtId="167" fontId="0" fillId="0" borderId="22" xfId="0" applyNumberFormat="1" applyBorder="1" applyProtection="1">
      <protection locked="0"/>
    </xf>
    <xf numFmtId="0" fontId="12" fillId="0" borderId="18" xfId="0" applyFont="1" applyBorder="1" applyProtection="1">
      <protection locked="0"/>
    </xf>
    <xf numFmtId="49" fontId="12" fillId="0" borderId="18" xfId="0" applyNumberFormat="1" applyFont="1" applyBorder="1" applyAlignment="1" applyProtection="1">
      <alignment horizontal="center"/>
      <protection locked="0"/>
    </xf>
    <xf numFmtId="49" fontId="12" fillId="0" borderId="8" xfId="0" applyNumberFormat="1" applyFont="1" applyBorder="1" applyAlignment="1" applyProtection="1">
      <alignment horizontal="center"/>
      <protection locked="0"/>
    </xf>
    <xf numFmtId="0" fontId="12" fillId="0" borderId="2" xfId="0" applyFont="1" applyBorder="1" applyProtection="1">
      <protection locked="0"/>
    </xf>
    <xf numFmtId="1" fontId="12" fillId="0" borderId="4" xfId="0" applyNumberFormat="1" applyFont="1" applyBorder="1" applyProtection="1">
      <protection locked="0"/>
    </xf>
    <xf numFmtId="15" fontId="12" fillId="0" borderId="4" xfId="0" applyNumberFormat="1" applyFont="1" applyBorder="1" applyProtection="1">
      <protection locked="0"/>
    </xf>
    <xf numFmtId="20" fontId="12" fillId="0" borderId="8" xfId="0" applyNumberFormat="1" applyFont="1" applyBorder="1" applyProtection="1">
      <protection locked="0"/>
    </xf>
    <xf numFmtId="0" fontId="5" fillId="0" borderId="14" xfId="0" applyFont="1" applyBorder="1" applyProtection="1">
      <protection locked="0"/>
    </xf>
    <xf numFmtId="49" fontId="5" fillId="0" borderId="14" xfId="0" applyNumberFormat="1" applyFont="1" applyBorder="1" applyAlignment="1" applyProtection="1">
      <alignment horizontal="center"/>
      <protection locked="0"/>
    </xf>
    <xf numFmtId="49" fontId="5" fillId="0" borderId="4" xfId="0" applyNumberFormat="1" applyFont="1" applyBorder="1" applyAlignment="1" applyProtection="1">
      <alignment horizontal="center"/>
      <protection locked="0"/>
    </xf>
    <xf numFmtId="0" fontId="5" fillId="0" borderId="24" xfId="0" applyFont="1" applyBorder="1" applyProtection="1">
      <protection locked="0"/>
    </xf>
    <xf numFmtId="167" fontId="0" fillId="0" borderId="0" xfId="0" applyNumberFormat="1"/>
    <xf numFmtId="0" fontId="9" fillId="0" borderId="0" xfId="0" applyFont="1"/>
    <xf numFmtId="0" fontId="5" fillId="0" borderId="0" xfId="0" applyFont="1"/>
    <xf numFmtId="0" fontId="0" fillId="2" borderId="26" xfId="0" applyFill="1" applyBorder="1" applyAlignment="1">
      <alignment horizontal="right"/>
    </xf>
    <xf numFmtId="15" fontId="12" fillId="0" borderId="25" xfId="0" applyNumberFormat="1" applyFont="1" applyBorder="1" applyProtection="1">
      <protection locked="0"/>
    </xf>
    <xf numFmtId="0" fontId="5" fillId="2" borderId="27" xfId="0" applyFont="1" applyFill="1" applyBorder="1" applyAlignment="1">
      <alignment horizontal="right"/>
    </xf>
    <xf numFmtId="0" fontId="5" fillId="0" borderId="0" xfId="0" applyFont="1" applyAlignment="1">
      <alignment wrapText="1"/>
    </xf>
    <xf numFmtId="0" fontId="0" fillId="0" borderId="0" xfId="0" applyProtection="1">
      <protection locked="0"/>
    </xf>
    <xf numFmtId="15" fontId="27" fillId="0" borderId="4" xfId="0" applyNumberFormat="1" applyFont="1" applyBorder="1" applyAlignment="1" applyProtection="1">
      <alignment horizontal="center"/>
      <protection locked="0"/>
    </xf>
    <xf numFmtId="0" fontId="26" fillId="2" borderId="27" xfId="0" applyFont="1" applyFill="1" applyBorder="1" applyAlignment="1">
      <alignment horizontal="right"/>
    </xf>
    <xf numFmtId="0" fontId="26" fillId="0" borderId="0" xfId="0" applyFont="1"/>
    <xf numFmtId="0" fontId="26" fillId="0" borderId="0" xfId="0" applyFont="1" applyAlignment="1">
      <alignment wrapText="1"/>
    </xf>
    <xf numFmtId="0" fontId="7" fillId="2" borderId="15" xfId="0" applyFont="1" applyFill="1" applyBorder="1" applyAlignment="1">
      <alignment horizontal="center" wrapText="1"/>
    </xf>
    <xf numFmtId="0" fontId="10" fillId="0" borderId="0" xfId="0" applyFont="1" applyAlignment="1">
      <alignment vertical="center" wrapText="1"/>
    </xf>
    <xf numFmtId="0" fontId="16" fillId="0" borderId="0" xfId="0" applyFont="1"/>
    <xf numFmtId="0" fontId="10" fillId="0" borderId="0" xfId="0" applyFont="1" applyProtection="1">
      <protection locked="0"/>
    </xf>
    <xf numFmtId="0" fontId="11" fillId="0" borderId="0" xfId="0" applyFont="1" applyAlignment="1">
      <alignment vertical="center"/>
    </xf>
    <xf numFmtId="0" fontId="6" fillId="0" borderId="0" xfId="0" applyFont="1" applyAlignment="1">
      <alignment vertical="top"/>
    </xf>
    <xf numFmtId="0" fontId="5" fillId="0" borderId="0" xfId="0" applyFont="1" applyAlignment="1">
      <alignment vertical="top"/>
    </xf>
    <xf numFmtId="0" fontId="0" fillId="0" borderId="0" xfId="0" applyAlignment="1">
      <alignment vertical="top"/>
    </xf>
    <xf numFmtId="0" fontId="11" fillId="0" borderId="0" xfId="0" applyFont="1" applyAlignment="1">
      <alignment horizontal="right" vertical="center"/>
    </xf>
    <xf numFmtId="0" fontId="5" fillId="0" borderId="0" xfId="0" applyFont="1" applyAlignment="1">
      <alignment horizontal="right"/>
    </xf>
    <xf numFmtId="0" fontId="11" fillId="0" borderId="0" xfId="0" applyFont="1" applyAlignment="1">
      <alignment horizontal="left" vertical="center"/>
    </xf>
    <xf numFmtId="0" fontId="11" fillId="0" borderId="29" xfId="0" applyFont="1" applyBorder="1" applyAlignment="1">
      <alignment horizontal="right" vertical="center"/>
    </xf>
    <xf numFmtId="0" fontId="11" fillId="0" borderId="29" xfId="0" applyFont="1" applyBorder="1" applyAlignment="1">
      <alignment vertical="center"/>
    </xf>
    <xf numFmtId="0" fontId="11" fillId="0" borderId="29" xfId="0" applyFont="1" applyBorder="1" applyAlignment="1">
      <alignment horizontal="left" vertical="center"/>
    </xf>
    <xf numFmtId="0" fontId="10" fillId="0" borderId="0" xfId="0" quotePrefix="1" applyFont="1" applyAlignment="1">
      <alignment horizontal="left" vertical="center"/>
    </xf>
    <xf numFmtId="0" fontId="0" fillId="0" borderId="18" xfId="0" applyBorder="1" applyProtection="1">
      <protection locked="0"/>
    </xf>
    <xf numFmtId="0" fontId="28" fillId="0" borderId="0" xfId="0" applyFont="1" applyAlignment="1">
      <alignment horizontal="right" vertical="center"/>
    </xf>
    <xf numFmtId="0" fontId="16" fillId="0" borderId="0" xfId="0" applyFont="1" applyAlignment="1">
      <alignment vertical="top"/>
    </xf>
    <xf numFmtId="18" fontId="20" fillId="0" borderId="18" xfId="0" applyNumberFormat="1" applyFont="1" applyBorder="1" applyAlignment="1">
      <alignment horizontal="center" wrapText="1"/>
    </xf>
    <xf numFmtId="168" fontId="10" fillId="0" borderId="18" xfId="0" applyNumberFormat="1" applyFont="1" applyBorder="1" applyAlignment="1" applyProtection="1">
      <alignment horizontal="center"/>
      <protection locked="0"/>
    </xf>
    <xf numFmtId="0" fontId="10" fillId="0" borderId="0" xfId="0" applyFont="1" applyAlignment="1">
      <alignment horizontal="left" vertical="center"/>
    </xf>
    <xf numFmtId="0" fontId="28" fillId="0" borderId="0" xfId="0" applyFont="1" applyAlignment="1">
      <alignment horizontal="left" vertical="center"/>
    </xf>
    <xf numFmtId="15" fontId="26" fillId="2" borderId="2" xfId="0" applyNumberFormat="1" applyFont="1" applyFill="1" applyBorder="1" applyAlignment="1">
      <alignment horizontal="center"/>
    </xf>
    <xf numFmtId="168" fontId="10" fillId="0" borderId="0" xfId="0" applyNumberFormat="1" applyFont="1" applyAlignment="1" applyProtection="1">
      <alignment horizontal="center"/>
      <protection locked="0"/>
    </xf>
    <xf numFmtId="0" fontId="16" fillId="0" borderId="0" xfId="0" applyFont="1" applyAlignment="1">
      <alignment vertical="center" wrapText="1"/>
    </xf>
    <xf numFmtId="0" fontId="0" fillId="0" borderId="0" xfId="0" applyAlignment="1">
      <alignment horizontal="left"/>
    </xf>
    <xf numFmtId="0" fontId="5" fillId="0" borderId="0" xfId="0" applyFont="1" applyAlignment="1">
      <alignment horizontal="right" vertical="top"/>
    </xf>
    <xf numFmtId="15" fontId="5" fillId="0" borderId="0" xfId="0" applyNumberFormat="1" applyFont="1" applyAlignment="1">
      <alignment horizontal="left"/>
    </xf>
    <xf numFmtId="0" fontId="7" fillId="0" borderId="0" xfId="0" applyFont="1" applyAlignment="1">
      <alignment horizontal="right" vertical="top"/>
    </xf>
    <xf numFmtId="15" fontId="7" fillId="0" borderId="0" xfId="0" applyNumberFormat="1" applyFont="1" applyAlignment="1">
      <alignment horizontal="left"/>
    </xf>
    <xf numFmtId="0" fontId="5" fillId="2" borderId="25" xfId="0" applyFont="1" applyFill="1" applyBorder="1" applyAlignment="1">
      <alignment horizontal="right" vertical="center"/>
    </xf>
    <xf numFmtId="169" fontId="11" fillId="0" borderId="0" xfId="0" applyNumberFormat="1" applyFont="1" applyAlignment="1">
      <alignment vertical="center"/>
    </xf>
    <xf numFmtId="169" fontId="0" fillId="0" borderId="25" xfId="0" applyNumberFormat="1" applyBorder="1" applyAlignment="1" applyProtection="1">
      <alignment horizontal="left"/>
      <protection locked="0"/>
    </xf>
    <xf numFmtId="0" fontId="0" fillId="2" borderId="30" xfId="0" applyFill="1" applyBorder="1" applyAlignment="1">
      <alignment horizontal="right"/>
    </xf>
    <xf numFmtId="0" fontId="0" fillId="2" borderId="17" xfId="0" applyFill="1" applyBorder="1"/>
    <xf numFmtId="0" fontId="12" fillId="0" borderId="0" xfId="0" applyFont="1" applyProtection="1">
      <protection locked="0"/>
    </xf>
    <xf numFmtId="0" fontId="32" fillId="0" borderId="0" xfId="0" applyFont="1"/>
    <xf numFmtId="0" fontId="31" fillId="0" borderId="0" xfId="0" applyFont="1"/>
    <xf numFmtId="0" fontId="31" fillId="0" borderId="0" xfId="0" applyFont="1" applyAlignment="1">
      <alignment vertical="top" wrapText="1"/>
    </xf>
    <xf numFmtId="167" fontId="34" fillId="0" borderId="16" xfId="0" applyNumberFormat="1" applyFont="1" applyBorder="1" applyAlignment="1">
      <alignment horizontal="center" wrapText="1"/>
    </xf>
    <xf numFmtId="0" fontId="34" fillId="0" borderId="17" xfId="0" applyFont="1" applyBorder="1" applyAlignment="1">
      <alignment horizontal="center" vertical="center"/>
    </xf>
    <xf numFmtId="0" fontId="35" fillId="0" borderId="16" xfId="0" applyFont="1" applyBorder="1" applyAlignment="1">
      <alignment horizontal="center" vertical="center" wrapText="1"/>
    </xf>
    <xf numFmtId="0" fontId="8" fillId="0" borderId="28" xfId="0" applyFont="1" applyBorder="1"/>
    <xf numFmtId="167" fontId="35" fillId="0" borderId="16" xfId="0" applyNumberFormat="1" applyFont="1" applyBorder="1" applyAlignment="1">
      <alignment horizontal="center" vertical="center"/>
    </xf>
    <xf numFmtId="18" fontId="35" fillId="0" borderId="16" xfId="0" applyNumberFormat="1" applyFont="1" applyBorder="1" applyAlignment="1">
      <alignment horizontal="center" vertical="center" wrapText="1"/>
    </xf>
    <xf numFmtId="0" fontId="8" fillId="0" borderId="16" xfId="0" applyFont="1" applyBorder="1"/>
    <xf numFmtId="167" fontId="34" fillId="0" borderId="7" xfId="0" applyNumberFormat="1" applyFont="1" applyBorder="1"/>
    <xf numFmtId="0" fontId="34" fillId="0" borderId="18" xfId="0" applyFont="1" applyBorder="1" applyAlignment="1">
      <alignment horizontal="center" vertical="center"/>
    </xf>
    <xf numFmtId="0" fontId="35" fillId="0" borderId="7" xfId="0" applyFont="1" applyBorder="1" applyAlignment="1">
      <alignment horizontal="center" vertical="center" wrapText="1"/>
    </xf>
    <xf numFmtId="0" fontId="8" fillId="0" borderId="7" xfId="0" applyFont="1" applyBorder="1"/>
    <xf numFmtId="0" fontId="34" fillId="0" borderId="16" xfId="0" applyFont="1" applyBorder="1" applyAlignment="1">
      <alignment horizontal="center" vertical="center"/>
    </xf>
    <xf numFmtId="166" fontId="20" fillId="0" borderId="16" xfId="0" applyNumberFormat="1" applyFont="1" applyBorder="1" applyAlignment="1">
      <alignment horizontal="center" vertical="center" wrapText="1"/>
    </xf>
    <xf numFmtId="165" fontId="20" fillId="0" borderId="7" xfId="0" applyNumberFormat="1" applyFont="1" applyBorder="1" applyAlignment="1">
      <alignment horizontal="center" vertical="center" wrapText="1"/>
    </xf>
    <xf numFmtId="0" fontId="5" fillId="2" borderId="9" xfId="0" applyFont="1" applyFill="1" applyBorder="1" applyAlignment="1">
      <alignment horizontal="center"/>
    </xf>
    <xf numFmtId="0" fontId="0" fillId="2" borderId="5" xfId="0" applyFill="1" applyBorder="1" applyAlignment="1">
      <alignment horizontal="center"/>
    </xf>
    <xf numFmtId="0" fontId="0" fillId="2" borderId="9" xfId="0" applyFill="1" applyBorder="1" applyAlignment="1">
      <alignment horizontal="center"/>
    </xf>
    <xf numFmtId="0" fontId="0" fillId="2" borderId="10" xfId="0" applyFill="1" applyBorder="1" applyAlignment="1">
      <alignment horizontal="center"/>
    </xf>
    <xf numFmtId="0" fontId="25" fillId="0" borderId="0" xfId="0" applyFont="1" applyAlignment="1">
      <alignment horizontal="center"/>
    </xf>
    <xf numFmtId="0" fontId="12" fillId="0" borderId="25" xfId="0" applyFont="1" applyBorder="1" applyAlignment="1" applyProtection="1">
      <alignment horizontal="center"/>
      <protection locked="0"/>
    </xf>
    <xf numFmtId="0" fontId="31" fillId="0" borderId="0" xfId="0" applyFont="1" applyAlignment="1">
      <alignment horizontal="left" vertical="top" wrapText="1"/>
    </xf>
    <xf numFmtId="0" fontId="30" fillId="0" borderId="0" xfId="0" applyFont="1" applyAlignment="1">
      <alignment horizontal="right"/>
    </xf>
    <xf numFmtId="0" fontId="5" fillId="0" borderId="0" xfId="0" applyFont="1" applyAlignment="1">
      <alignment horizontal="left"/>
    </xf>
    <xf numFmtId="0" fontId="18" fillId="0" borderId="18" xfId="0" applyFont="1" applyBorder="1" applyAlignment="1">
      <alignment horizontal="center" vertical="center"/>
    </xf>
    <xf numFmtId="0" fontId="10" fillId="0" borderId="0" xfId="0" applyFont="1" applyAlignment="1">
      <alignment horizontal="right" vertical="center" wrapText="1"/>
    </xf>
    <xf numFmtId="0" fontId="10" fillId="0" borderId="0" xfId="0" applyFont="1" applyAlignment="1">
      <alignment horizontal="left" vertical="center"/>
    </xf>
    <xf numFmtId="2" fontId="0" fillId="0" borderId="0" xfId="0" applyNumberFormat="1" applyAlignment="1">
      <alignment horizontal="center"/>
    </xf>
    <xf numFmtId="2" fontId="0" fillId="0" borderId="18" xfId="0" applyNumberFormat="1" applyBorder="1" applyAlignment="1">
      <alignment horizontal="center"/>
    </xf>
    <xf numFmtId="0" fontId="0" fillId="0" borderId="0" xfId="0" applyAlignment="1">
      <alignment horizontal="center"/>
    </xf>
    <xf numFmtId="0" fontId="0" fillId="0" borderId="18" xfId="0" applyBorder="1" applyAlignment="1">
      <alignment horizontal="center"/>
    </xf>
    <xf numFmtId="0" fontId="33" fillId="0" borderId="0" xfId="0" applyFont="1" applyAlignment="1">
      <alignment horizontal="center" vertical="center" wrapText="1"/>
    </xf>
    <xf numFmtId="0" fontId="9" fillId="0" borderId="0" xfId="0" applyFont="1" applyAlignment="1">
      <alignment horizontal="center"/>
    </xf>
    <xf numFmtId="0" fontId="10" fillId="0" borderId="0" xfId="0" applyFont="1" applyAlignment="1">
      <alignment horizontal="center" vertical="center" wrapText="1"/>
    </xf>
    <xf numFmtId="0" fontId="10" fillId="0" borderId="0" xfId="0" applyFont="1" applyAlignment="1">
      <alignment horizontal="right" vertical="center"/>
    </xf>
    <xf numFmtId="0" fontId="35" fillId="0" borderId="22" xfId="0" applyFont="1" applyBorder="1" applyAlignment="1" applyProtection="1">
      <alignment horizontal="center" vertical="center" wrapText="1"/>
      <protection locked="0"/>
    </xf>
    <xf numFmtId="0" fontId="35" fillId="0" borderId="18" xfId="0" applyFont="1" applyBorder="1" applyAlignment="1" applyProtection="1">
      <alignment horizontal="center" vertical="center" wrapText="1"/>
      <protection locked="0"/>
    </xf>
    <xf numFmtId="0" fontId="35" fillId="0" borderId="8" xfId="0" applyFont="1" applyBorder="1" applyAlignment="1" applyProtection="1">
      <alignment horizontal="center" vertical="center" wrapText="1"/>
      <protection locked="0"/>
    </xf>
    <xf numFmtId="0" fontId="35" fillId="0" borderId="19" xfId="0" applyFont="1" applyBorder="1" applyAlignment="1" applyProtection="1">
      <alignment horizontal="center" vertical="center" wrapText="1"/>
      <protection locked="0"/>
    </xf>
    <xf numFmtId="0" fontId="35" fillId="0" borderId="20" xfId="0" applyFont="1" applyBorder="1" applyAlignment="1" applyProtection="1">
      <alignment horizontal="center" vertical="center" wrapText="1"/>
      <protection locked="0"/>
    </xf>
    <xf numFmtId="0" fontId="35" fillId="0" borderId="21" xfId="0" applyFont="1" applyBorder="1" applyAlignment="1" applyProtection="1">
      <alignment horizontal="center" vertical="center" wrapText="1"/>
      <protection locked="0"/>
    </xf>
    <xf numFmtId="0" fontId="35" fillId="0" borderId="6" xfId="0" applyFont="1" applyBorder="1" applyAlignment="1" applyProtection="1">
      <alignment horizontal="center" vertical="center" wrapText="1"/>
      <protection locked="0"/>
    </xf>
    <xf numFmtId="0" fontId="35" fillId="0" borderId="0" xfId="0" applyFont="1" applyAlignment="1" applyProtection="1">
      <alignment horizontal="center" vertical="center" wrapText="1"/>
      <protection locked="0"/>
    </xf>
    <xf numFmtId="0" fontId="35" fillId="0" borderId="17" xfId="0" applyFont="1" applyBorder="1" applyAlignment="1" applyProtection="1">
      <alignment horizontal="center" vertical="center" wrapText="1"/>
      <protection locked="0"/>
    </xf>
    <xf numFmtId="0" fontId="10" fillId="0" borderId="0" xfId="0" applyFont="1" applyAlignment="1">
      <alignment horizontal="center" vertical="center"/>
    </xf>
    <xf numFmtId="0" fontId="7" fillId="2" borderId="9" xfId="0" applyFont="1" applyFill="1" applyBorder="1" applyAlignment="1">
      <alignment horizontal="center"/>
    </xf>
    <xf numFmtId="0" fontId="7" fillId="2" borderId="5" xfId="0" applyFont="1" applyFill="1" applyBorder="1" applyAlignment="1">
      <alignment horizontal="center"/>
    </xf>
    <xf numFmtId="0" fontId="7" fillId="2" borderId="10" xfId="0" applyFont="1" applyFill="1" applyBorder="1" applyAlignment="1">
      <alignment horizontal="center"/>
    </xf>
    <xf numFmtId="0" fontId="10" fillId="0" borderId="0" xfId="0" applyFont="1" applyAlignment="1">
      <alignment horizontal="right"/>
    </xf>
    <xf numFmtId="0" fontId="6" fillId="0" borderId="20" xfId="0" applyFont="1" applyBorder="1" applyAlignment="1">
      <alignment horizontal="center" vertical="top"/>
    </xf>
    <xf numFmtId="15" fontId="0" fillId="0" borderId="0" xfId="0" applyNumberFormat="1" applyAlignment="1">
      <alignment horizontal="left" vertical="top"/>
    </xf>
    <xf numFmtId="0" fontId="0" fillId="0" borderId="0" xfId="0" applyAlignment="1">
      <alignment horizontal="left" vertical="top"/>
    </xf>
    <xf numFmtId="0" fontId="29" fillId="0" borderId="0" xfId="0" applyFont="1" applyAlignment="1">
      <alignment horizontal="left" vertical="center"/>
    </xf>
  </cellXfs>
  <cellStyles count="356">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Followed Hyperlink" xfId="108" builtinId="9" hidden="1"/>
    <cellStyle name="Followed Hyperlink" xfId="109" builtinId="9" hidden="1"/>
    <cellStyle name="Followed Hyperlink" xfId="110" builtinId="9" hidden="1"/>
    <cellStyle name="Followed Hyperlink" xfId="111" builtinId="9" hidden="1"/>
    <cellStyle name="Followed Hyperlink" xfId="112" builtinId="9" hidden="1"/>
    <cellStyle name="Followed Hyperlink" xfId="113" builtinId="9" hidden="1"/>
    <cellStyle name="Followed Hyperlink" xfId="114" builtinId="9" hidden="1"/>
    <cellStyle name="Followed Hyperlink" xfId="115" builtinId="9" hidden="1"/>
    <cellStyle name="Followed Hyperlink" xfId="116" builtinId="9" hidden="1"/>
    <cellStyle name="Followed Hyperlink" xfId="117" builtinId="9" hidden="1"/>
    <cellStyle name="Followed Hyperlink" xfId="118" builtinId="9" hidden="1"/>
    <cellStyle name="Followed Hyperlink" xfId="119" builtinId="9" hidden="1"/>
    <cellStyle name="Followed Hyperlink" xfId="120" builtinId="9" hidden="1"/>
    <cellStyle name="Followed Hyperlink" xfId="121" builtinId="9" hidden="1"/>
    <cellStyle name="Followed Hyperlink" xfId="122" builtinId="9" hidden="1"/>
    <cellStyle name="Followed Hyperlink" xfId="123" builtinId="9" hidden="1"/>
    <cellStyle name="Followed Hyperlink" xfId="124" builtinId="9" hidden="1"/>
    <cellStyle name="Followed Hyperlink" xfId="125" builtinId="9" hidden="1"/>
    <cellStyle name="Followed Hyperlink" xfId="126" builtinId="9" hidden="1"/>
    <cellStyle name="Followed Hyperlink" xfId="127" builtinId="9" hidden="1"/>
    <cellStyle name="Followed Hyperlink" xfId="128" builtinId="9" hidden="1"/>
    <cellStyle name="Followed Hyperlink" xfId="129" builtinId="9" hidden="1"/>
    <cellStyle name="Followed Hyperlink" xfId="130" builtinId="9" hidden="1"/>
    <cellStyle name="Followed Hyperlink" xfId="131" builtinId="9" hidden="1"/>
    <cellStyle name="Followed Hyperlink" xfId="132" builtinId="9" hidden="1"/>
    <cellStyle name="Followed Hyperlink" xfId="133" builtinId="9" hidden="1"/>
    <cellStyle name="Followed Hyperlink" xfId="134" builtinId="9" hidden="1"/>
    <cellStyle name="Followed Hyperlink" xfId="135" builtinId="9" hidden="1"/>
    <cellStyle name="Followed Hyperlink" xfId="136" builtinId="9" hidden="1"/>
    <cellStyle name="Followed Hyperlink" xfId="137" builtinId="9" hidden="1"/>
    <cellStyle name="Followed Hyperlink" xfId="138" builtinId="9" hidden="1"/>
    <cellStyle name="Followed Hyperlink" xfId="139" builtinId="9" hidden="1"/>
    <cellStyle name="Followed Hyperlink" xfId="140" builtinId="9" hidden="1"/>
    <cellStyle name="Followed Hyperlink" xfId="141" builtinId="9" hidden="1"/>
    <cellStyle name="Followed Hyperlink" xfId="142" builtinId="9" hidden="1"/>
    <cellStyle name="Followed Hyperlink" xfId="143" builtinId="9" hidden="1"/>
    <cellStyle name="Followed Hyperlink" xfId="144" builtinId="9" hidden="1"/>
    <cellStyle name="Followed Hyperlink" xfId="145" builtinId="9" hidden="1"/>
    <cellStyle name="Followed Hyperlink" xfId="146" builtinId="9" hidden="1"/>
    <cellStyle name="Followed Hyperlink" xfId="147" builtinId="9" hidden="1"/>
    <cellStyle name="Followed Hyperlink" xfId="148" builtinId="9" hidden="1"/>
    <cellStyle name="Followed Hyperlink" xfId="149" builtinId="9" hidden="1"/>
    <cellStyle name="Followed Hyperlink" xfId="150" builtinId="9" hidden="1"/>
    <cellStyle name="Followed Hyperlink" xfId="151" builtinId="9" hidden="1"/>
    <cellStyle name="Followed Hyperlink" xfId="152" builtinId="9" hidden="1"/>
    <cellStyle name="Followed Hyperlink" xfId="153" builtinId="9" hidden="1"/>
    <cellStyle name="Followed Hyperlink" xfId="154" builtinId="9" hidden="1"/>
    <cellStyle name="Followed Hyperlink" xfId="155" builtinId="9" hidden="1"/>
    <cellStyle name="Followed Hyperlink" xfId="156" builtinId="9" hidden="1"/>
    <cellStyle name="Followed Hyperlink" xfId="157" builtinId="9" hidden="1"/>
    <cellStyle name="Followed Hyperlink" xfId="158" builtinId="9" hidden="1"/>
    <cellStyle name="Followed Hyperlink" xfId="159" builtinId="9" hidden="1"/>
    <cellStyle name="Followed Hyperlink" xfId="160" builtinId="9" hidden="1"/>
    <cellStyle name="Followed Hyperlink" xfId="161" builtinId="9" hidden="1"/>
    <cellStyle name="Followed Hyperlink" xfId="162" builtinId="9" hidden="1"/>
    <cellStyle name="Followed Hyperlink" xfId="163" builtinId="9" hidden="1"/>
    <cellStyle name="Followed Hyperlink" xfId="164" builtinId="9" hidden="1"/>
    <cellStyle name="Followed Hyperlink" xfId="165" builtinId="9" hidden="1"/>
    <cellStyle name="Followed Hyperlink" xfId="166" builtinId="9" hidden="1"/>
    <cellStyle name="Followed Hyperlink" xfId="167" builtinId="9" hidden="1"/>
    <cellStyle name="Followed Hyperlink" xfId="168" builtinId="9" hidden="1"/>
    <cellStyle name="Followed Hyperlink" xfId="169" builtinId="9" hidden="1"/>
    <cellStyle name="Followed Hyperlink" xfId="170" builtinId="9" hidden="1"/>
    <cellStyle name="Followed Hyperlink" xfId="171" builtinId="9" hidden="1"/>
    <cellStyle name="Followed Hyperlink" xfId="172" builtinId="9" hidden="1"/>
    <cellStyle name="Followed Hyperlink" xfId="173" builtinId="9" hidden="1"/>
    <cellStyle name="Followed Hyperlink" xfId="174" builtinId="9" hidden="1"/>
    <cellStyle name="Followed Hyperlink" xfId="175" builtinId="9" hidden="1"/>
    <cellStyle name="Followed Hyperlink" xfId="176" builtinId="9" hidden="1"/>
    <cellStyle name="Followed Hyperlink" xfId="177" builtinId="9" hidden="1"/>
    <cellStyle name="Followed Hyperlink" xfId="178" builtinId="9" hidden="1"/>
    <cellStyle name="Followed Hyperlink" xfId="179" builtinId="9" hidden="1"/>
    <cellStyle name="Followed Hyperlink" xfId="180" builtinId="9" hidden="1"/>
    <cellStyle name="Followed Hyperlink" xfId="181" builtinId="9" hidden="1"/>
    <cellStyle name="Followed Hyperlink" xfId="182" builtinId="9" hidden="1"/>
    <cellStyle name="Followed Hyperlink" xfId="183" builtinId="9" hidden="1"/>
    <cellStyle name="Followed Hyperlink" xfId="184" builtinId="9" hidden="1"/>
    <cellStyle name="Followed Hyperlink" xfId="185" builtinId="9" hidden="1"/>
    <cellStyle name="Followed Hyperlink" xfId="186" builtinId="9" hidden="1"/>
    <cellStyle name="Followed Hyperlink" xfId="187" builtinId="9" hidden="1"/>
    <cellStyle name="Followed Hyperlink" xfId="188" builtinId="9" hidden="1"/>
    <cellStyle name="Followed Hyperlink" xfId="189" builtinId="9" hidden="1"/>
    <cellStyle name="Followed Hyperlink" xfId="190" builtinId="9" hidden="1"/>
    <cellStyle name="Followed Hyperlink" xfId="191" builtinId="9" hidden="1"/>
    <cellStyle name="Followed Hyperlink" xfId="192" builtinId="9" hidden="1"/>
    <cellStyle name="Followed Hyperlink" xfId="193" builtinId="9" hidden="1"/>
    <cellStyle name="Followed Hyperlink" xfId="194" builtinId="9" hidden="1"/>
    <cellStyle name="Followed Hyperlink" xfId="195" builtinId="9" hidden="1"/>
    <cellStyle name="Followed Hyperlink" xfId="196" builtinId="9" hidden="1"/>
    <cellStyle name="Followed Hyperlink" xfId="197" builtinId="9" hidden="1"/>
    <cellStyle name="Followed Hyperlink" xfId="198" builtinId="9" hidden="1"/>
    <cellStyle name="Followed Hyperlink" xfId="199" builtinId="9" hidden="1"/>
    <cellStyle name="Followed Hyperlink" xfId="200" builtinId="9" hidden="1"/>
    <cellStyle name="Followed Hyperlink" xfId="201" builtinId="9" hidden="1"/>
    <cellStyle name="Followed Hyperlink" xfId="202" builtinId="9" hidden="1"/>
    <cellStyle name="Followed Hyperlink" xfId="203" builtinId="9" hidden="1"/>
    <cellStyle name="Followed Hyperlink" xfId="204" builtinId="9" hidden="1"/>
    <cellStyle name="Followed Hyperlink" xfId="205" builtinId="9" hidden="1"/>
    <cellStyle name="Followed Hyperlink" xfId="206" builtinId="9" hidden="1"/>
    <cellStyle name="Followed Hyperlink" xfId="207" builtinId="9" hidden="1"/>
    <cellStyle name="Followed Hyperlink" xfId="208" builtinId="9" hidden="1"/>
    <cellStyle name="Followed Hyperlink" xfId="209" builtinId="9" hidden="1"/>
    <cellStyle name="Followed Hyperlink" xfId="210" builtinId="9" hidden="1"/>
    <cellStyle name="Followed Hyperlink" xfId="211" builtinId="9" hidden="1"/>
    <cellStyle name="Followed Hyperlink" xfId="212" builtinId="9" hidden="1"/>
    <cellStyle name="Followed Hyperlink" xfId="213" builtinId="9" hidden="1"/>
    <cellStyle name="Followed Hyperlink" xfId="214" builtinId="9" hidden="1"/>
    <cellStyle name="Followed Hyperlink" xfId="215" builtinId="9" hidden="1"/>
    <cellStyle name="Followed Hyperlink" xfId="216" builtinId="9" hidden="1"/>
    <cellStyle name="Followed Hyperlink" xfId="217" builtinId="9" hidden="1"/>
    <cellStyle name="Followed Hyperlink" xfId="218" builtinId="9" hidden="1"/>
    <cellStyle name="Followed Hyperlink" xfId="219" builtinId="9" hidden="1"/>
    <cellStyle name="Followed Hyperlink" xfId="220" builtinId="9" hidden="1"/>
    <cellStyle name="Followed Hyperlink" xfId="221" builtinId="9" hidden="1"/>
    <cellStyle name="Followed Hyperlink" xfId="222" builtinId="9" hidden="1"/>
    <cellStyle name="Followed Hyperlink" xfId="223" builtinId="9" hidden="1"/>
    <cellStyle name="Followed Hyperlink" xfId="224" builtinId="9" hidden="1"/>
    <cellStyle name="Followed Hyperlink" xfId="225" builtinId="9" hidden="1"/>
    <cellStyle name="Followed Hyperlink" xfId="226" builtinId="9" hidden="1"/>
    <cellStyle name="Followed Hyperlink" xfId="227" builtinId="9" hidden="1"/>
    <cellStyle name="Followed Hyperlink" xfId="228" builtinId="9" hidden="1"/>
    <cellStyle name="Followed Hyperlink" xfId="229" builtinId="9" hidden="1"/>
    <cellStyle name="Followed Hyperlink" xfId="230" builtinId="9" hidden="1"/>
    <cellStyle name="Followed Hyperlink" xfId="231" builtinId="9" hidden="1"/>
    <cellStyle name="Followed Hyperlink" xfId="232" builtinId="9" hidden="1"/>
    <cellStyle name="Followed Hyperlink" xfId="233" builtinId="9" hidden="1"/>
    <cellStyle name="Followed Hyperlink" xfId="234" builtinId="9" hidden="1"/>
    <cellStyle name="Followed Hyperlink" xfId="235" builtinId="9" hidden="1"/>
    <cellStyle name="Followed Hyperlink" xfId="236" builtinId="9" hidden="1"/>
    <cellStyle name="Followed Hyperlink" xfId="237" builtinId="9" hidden="1"/>
    <cellStyle name="Followed Hyperlink" xfId="238" builtinId="9" hidden="1"/>
    <cellStyle name="Followed Hyperlink" xfId="239" builtinId="9" hidden="1"/>
    <cellStyle name="Followed Hyperlink" xfId="240" builtinId="9" hidden="1"/>
    <cellStyle name="Followed Hyperlink" xfId="241" builtinId="9" hidden="1"/>
    <cellStyle name="Followed Hyperlink" xfId="242" builtinId="9" hidden="1"/>
    <cellStyle name="Followed Hyperlink" xfId="243" builtinId="9" hidden="1"/>
    <cellStyle name="Followed Hyperlink" xfId="244" builtinId="9" hidden="1"/>
    <cellStyle name="Followed Hyperlink" xfId="245" builtinId="9" hidden="1"/>
    <cellStyle name="Followed Hyperlink" xfId="246" builtinId="9" hidden="1"/>
    <cellStyle name="Followed Hyperlink" xfId="247" builtinId="9" hidden="1"/>
    <cellStyle name="Followed Hyperlink" xfId="248" builtinId="9" hidden="1"/>
    <cellStyle name="Followed Hyperlink" xfId="249" builtinId="9" hidden="1"/>
    <cellStyle name="Followed Hyperlink" xfId="250" builtinId="9" hidden="1"/>
    <cellStyle name="Followed Hyperlink" xfId="251" builtinId="9" hidden="1"/>
    <cellStyle name="Followed Hyperlink" xfId="252" builtinId="9" hidden="1"/>
    <cellStyle name="Followed Hyperlink" xfId="253" builtinId="9" hidden="1"/>
    <cellStyle name="Followed Hyperlink" xfId="254" builtinId="9" hidden="1"/>
    <cellStyle name="Followed Hyperlink" xfId="255" builtinId="9" hidden="1"/>
    <cellStyle name="Followed Hyperlink" xfId="256" builtinId="9" hidden="1"/>
    <cellStyle name="Followed Hyperlink" xfId="257" builtinId="9" hidden="1"/>
    <cellStyle name="Followed Hyperlink" xfId="258" builtinId="9" hidden="1"/>
    <cellStyle name="Followed Hyperlink" xfId="259" builtinId="9" hidden="1"/>
    <cellStyle name="Followed Hyperlink" xfId="260" builtinId="9" hidden="1"/>
    <cellStyle name="Followed Hyperlink" xfId="261" builtinId="9" hidden="1"/>
    <cellStyle name="Followed Hyperlink" xfId="262" builtinId="9" hidden="1"/>
    <cellStyle name="Followed Hyperlink" xfId="263" builtinId="9" hidden="1"/>
    <cellStyle name="Followed Hyperlink" xfId="264" builtinId="9" hidden="1"/>
    <cellStyle name="Followed Hyperlink" xfId="265" builtinId="9" hidden="1"/>
    <cellStyle name="Followed Hyperlink" xfId="266" builtinId="9" hidden="1"/>
    <cellStyle name="Followed Hyperlink" xfId="267" builtinId="9" hidden="1"/>
    <cellStyle name="Followed Hyperlink" xfId="268" builtinId="9" hidden="1"/>
    <cellStyle name="Followed Hyperlink" xfId="269" builtinId="9" hidden="1"/>
    <cellStyle name="Followed Hyperlink" xfId="270" builtinId="9" hidden="1"/>
    <cellStyle name="Followed Hyperlink" xfId="271" builtinId="9" hidden="1"/>
    <cellStyle name="Followed Hyperlink" xfId="272" builtinId="9" hidden="1"/>
    <cellStyle name="Followed Hyperlink" xfId="273" builtinId="9" hidden="1"/>
    <cellStyle name="Followed Hyperlink" xfId="274" builtinId="9" hidden="1"/>
    <cellStyle name="Followed Hyperlink" xfId="275" builtinId="9" hidden="1"/>
    <cellStyle name="Followed Hyperlink" xfId="276" builtinId="9" hidden="1"/>
    <cellStyle name="Followed Hyperlink" xfId="277" builtinId="9" hidden="1"/>
    <cellStyle name="Followed Hyperlink" xfId="278" builtinId="9" hidden="1"/>
    <cellStyle name="Followed Hyperlink" xfId="279" builtinId="9" hidden="1"/>
    <cellStyle name="Followed Hyperlink" xfId="280" builtinId="9" hidden="1"/>
    <cellStyle name="Followed Hyperlink" xfId="281"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Normal" xfId="0" builtinId="0"/>
    <cellStyle name="Normal 2" xfId="282" xr:uid="{00000000-0005-0000-0000-00005E010000}"/>
    <cellStyle name="Normal 3" xfId="283" xr:uid="{00000000-0005-0000-0000-00005F010000}"/>
    <cellStyle name="Normal 3 2" xfId="285" xr:uid="{00000000-0005-0000-0000-000060010000}"/>
    <cellStyle name="Normal 3 2 2" xfId="286" xr:uid="{00000000-0005-0000-0000-000061010000}"/>
    <cellStyle name="Normal 3 2 3" xfId="287" xr:uid="{00000000-0005-0000-0000-000062010000}"/>
    <cellStyle name="Normal 4" xfId="284" xr:uid="{00000000-0005-0000-0000-000063010000}"/>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101600</xdr:colOff>
      <xdr:row>2</xdr:row>
      <xdr:rowOff>24577</xdr:rowOff>
    </xdr:from>
    <xdr:to>
      <xdr:col>2</xdr:col>
      <xdr:colOff>698900</xdr:colOff>
      <xdr:row>6</xdr:row>
      <xdr:rowOff>13272</xdr:rowOff>
    </xdr:to>
    <xdr:pic>
      <xdr:nvPicPr>
        <xdr:cNvPr id="2" name="Picture 1">
          <a:extLst>
            <a:ext uri="{FF2B5EF4-FFF2-40B4-BE49-F238E27FC236}">
              <a16:creationId xmlns:a16="http://schemas.microsoft.com/office/drawing/2014/main" id="{ECF1BBFE-B8D6-B945-BD9D-81491EC69EE0}"/>
            </a:ext>
          </a:extLst>
        </xdr:cNvPr>
        <xdr:cNvPicPr>
          <a:picLocks noChangeAspect="1"/>
        </xdr:cNvPicPr>
      </xdr:nvPicPr>
      <xdr:blipFill>
        <a:blip xmlns:r="http://schemas.openxmlformats.org/officeDocument/2006/relationships" r:embed="rId1"/>
        <a:stretch>
          <a:fillRect/>
        </a:stretch>
      </xdr:blipFill>
      <xdr:spPr>
        <a:xfrm>
          <a:off x="101600" y="430977"/>
          <a:ext cx="1714900" cy="132219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101600</xdr:colOff>
      <xdr:row>2</xdr:row>
      <xdr:rowOff>24577</xdr:rowOff>
    </xdr:from>
    <xdr:to>
      <xdr:col>2</xdr:col>
      <xdr:colOff>698900</xdr:colOff>
      <xdr:row>6</xdr:row>
      <xdr:rowOff>13272</xdr:rowOff>
    </xdr:to>
    <xdr:pic>
      <xdr:nvPicPr>
        <xdr:cNvPr id="2" name="Picture 1">
          <a:extLst>
            <a:ext uri="{FF2B5EF4-FFF2-40B4-BE49-F238E27FC236}">
              <a16:creationId xmlns:a16="http://schemas.microsoft.com/office/drawing/2014/main" id="{6A28C82B-1825-634A-A3AA-8400CD049D08}"/>
            </a:ext>
          </a:extLst>
        </xdr:cNvPr>
        <xdr:cNvPicPr>
          <a:picLocks noChangeAspect="1"/>
        </xdr:cNvPicPr>
      </xdr:nvPicPr>
      <xdr:blipFill>
        <a:blip xmlns:r="http://schemas.openxmlformats.org/officeDocument/2006/relationships" r:embed="rId1"/>
        <a:stretch>
          <a:fillRect/>
        </a:stretch>
      </xdr:blipFill>
      <xdr:spPr>
        <a:xfrm>
          <a:off x="101600" y="418277"/>
          <a:ext cx="1714900" cy="132219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37"/>
  <sheetViews>
    <sheetView showGridLines="0" zoomScale="90" zoomScaleNormal="90" zoomScalePageLayoutView="135" workbookViewId="0">
      <selection activeCell="J22" sqref="J22"/>
    </sheetView>
  </sheetViews>
  <sheetFormatPr defaultColWidth="8.81640625" defaultRowHeight="12.5" x14ac:dyDescent="0.25"/>
  <cols>
    <col min="1" max="1" width="16.453125" style="1" customWidth="1"/>
    <col min="2" max="2" width="10.81640625" customWidth="1"/>
    <col min="3" max="3" width="1" style="2" hidden="1" customWidth="1"/>
    <col min="4" max="4" width="8.36328125" customWidth="1"/>
    <col min="5" max="5" width="17" bestFit="1" customWidth="1"/>
    <col min="6" max="11" width="34.1796875" customWidth="1"/>
    <col min="12" max="15" width="17.81640625" hidden="1" customWidth="1"/>
    <col min="16" max="16" width="2.1796875" customWidth="1"/>
  </cols>
  <sheetData>
    <row r="1" spans="1:33" ht="20" customHeight="1" x14ac:dyDescent="0.4">
      <c r="A1" s="107" t="s">
        <v>55</v>
      </c>
      <c r="B1" s="107"/>
      <c r="C1" s="107"/>
      <c r="D1" s="107"/>
      <c r="E1" s="107"/>
      <c r="F1" s="107"/>
      <c r="G1" s="107"/>
      <c r="H1" s="40" t="s">
        <v>53</v>
      </c>
      <c r="Q1" s="109" t="s">
        <v>71</v>
      </c>
      <c r="R1" s="109"/>
      <c r="S1" s="109"/>
      <c r="T1" s="109"/>
      <c r="U1" s="109"/>
      <c r="V1" s="109"/>
      <c r="W1" s="109"/>
      <c r="X1" s="109"/>
      <c r="Y1" s="109"/>
      <c r="Z1" s="109"/>
      <c r="AA1" s="109"/>
      <c r="AB1" s="109"/>
      <c r="AC1" s="109"/>
      <c r="AD1" s="109"/>
      <c r="AE1" s="109"/>
      <c r="AF1" s="109"/>
      <c r="AG1" s="88"/>
    </row>
    <row r="2" spans="1:33" ht="13" customHeight="1" thickBot="1" x14ac:dyDescent="0.3">
      <c r="H2" s="44"/>
      <c r="I2" s="44"/>
      <c r="Q2" s="109"/>
      <c r="R2" s="109"/>
      <c r="S2" s="109"/>
      <c r="T2" s="109"/>
      <c r="U2" s="109"/>
      <c r="V2" s="109"/>
      <c r="W2" s="109"/>
      <c r="X2" s="109"/>
      <c r="Y2" s="109"/>
      <c r="Z2" s="109"/>
      <c r="AA2" s="109"/>
      <c r="AB2" s="109"/>
      <c r="AC2" s="109"/>
      <c r="AD2" s="109"/>
      <c r="AE2" s="109"/>
      <c r="AF2" s="109"/>
      <c r="AG2" s="88"/>
    </row>
    <row r="3" spans="1:33" s="48" customFormat="1" ht="13" customHeight="1" thickBot="1" x14ac:dyDescent="0.3">
      <c r="A3" s="47" t="s">
        <v>52</v>
      </c>
      <c r="B3" s="72">
        <v>45428</v>
      </c>
      <c r="H3" s="49"/>
      <c r="I3" s="49"/>
      <c r="Q3" s="109"/>
      <c r="R3" s="109"/>
      <c r="S3" s="109"/>
      <c r="T3" s="109"/>
      <c r="U3" s="109"/>
      <c r="V3" s="109"/>
      <c r="W3" s="109"/>
      <c r="X3" s="109"/>
      <c r="Y3" s="109"/>
      <c r="Z3" s="109"/>
      <c r="AA3" s="109"/>
      <c r="AB3" s="109"/>
      <c r="AC3" s="109"/>
      <c r="AD3" s="109"/>
      <c r="AE3" s="109"/>
      <c r="AF3" s="109"/>
      <c r="AG3" s="88"/>
    </row>
    <row r="4" spans="1:33" ht="13" customHeight="1" x14ac:dyDescent="0.3">
      <c r="A4" s="43" t="s">
        <v>54</v>
      </c>
      <c r="B4" s="46">
        <v>45444</v>
      </c>
      <c r="C4"/>
      <c r="H4" s="44"/>
      <c r="I4" s="44"/>
      <c r="Q4" s="109"/>
      <c r="R4" s="109"/>
      <c r="S4" s="109"/>
      <c r="T4" s="109"/>
      <c r="U4" s="109"/>
      <c r="V4" s="109"/>
      <c r="W4" s="109"/>
      <c r="X4" s="109"/>
      <c r="Y4" s="109"/>
      <c r="Z4" s="109"/>
      <c r="AA4" s="109"/>
      <c r="AB4" s="109"/>
      <c r="AC4" s="109"/>
      <c r="AD4" s="109"/>
      <c r="AE4" s="109"/>
      <c r="AF4" s="109"/>
      <c r="AG4" s="88"/>
    </row>
    <row r="5" spans="1:33" ht="7" customHeight="1" thickBot="1" x14ac:dyDescent="0.3">
      <c r="H5" s="44"/>
      <c r="I5" s="44"/>
      <c r="Q5" s="88"/>
      <c r="R5" s="88"/>
      <c r="S5" s="88"/>
      <c r="T5" s="88"/>
      <c r="U5" s="88"/>
      <c r="V5" s="88"/>
      <c r="W5" s="88"/>
      <c r="X5" s="88"/>
      <c r="Y5" s="88"/>
      <c r="Z5" s="88"/>
      <c r="AA5" s="88"/>
      <c r="AB5" s="88"/>
      <c r="AC5" s="88"/>
      <c r="AD5" s="88"/>
      <c r="AE5" s="88"/>
      <c r="AF5" s="88"/>
      <c r="AG5" s="88"/>
    </row>
    <row r="6" spans="1:33" ht="18" x14ac:dyDescent="0.4">
      <c r="A6" s="10" t="s">
        <v>15</v>
      </c>
      <c r="B6" s="30">
        <v>200</v>
      </c>
      <c r="C6">
        <f>IF(Brevet_Length&gt;=1200,Brevet_Length,IF(Brevet_Length&gt;=1000,1000,IF(Brevet_Length&gt;=600,600,IF(Brevet_Length&gt;=400,400,IF(Brevet_Length&gt;=300,300,IF(Brevet_Length&gt;=200,200,100))))))</f>
        <v>200</v>
      </c>
      <c r="J6" s="110" t="s">
        <v>40</v>
      </c>
      <c r="K6" s="110"/>
      <c r="Q6" s="86" t="s">
        <v>41</v>
      </c>
      <c r="R6" s="86"/>
      <c r="S6" s="86"/>
      <c r="T6" s="86"/>
      <c r="U6" s="86"/>
      <c r="V6" s="86"/>
      <c r="W6" s="86"/>
      <c r="X6" s="87"/>
      <c r="Y6" s="87"/>
      <c r="Z6" s="87"/>
    </row>
    <row r="7" spans="1:33" ht="14" x14ac:dyDescent="0.3">
      <c r="A7" s="11" t="s">
        <v>16</v>
      </c>
      <c r="B7" s="84">
        <f>IF(brevet=1200,90,IF(brevet=1000,75,IF(brevet=600,40,IF(brevet=400,27,IF(brevet=300,20,IF(brevet=200,13.5,IF(brevet&lt;200,L7,0)))))))</f>
        <v>13.5</v>
      </c>
      <c r="L7">
        <f>IF(Brevet_Length=150,10.5,IF(Brevet_Length=100,7,IF(Brevet_Length=50,3.5,IF(Brevet_Length=25, 2,0))))</f>
        <v>0</v>
      </c>
      <c r="Q7" s="87" t="s">
        <v>42</v>
      </c>
      <c r="R7" s="87"/>
      <c r="S7" s="87"/>
      <c r="T7" s="87"/>
      <c r="U7" s="87"/>
      <c r="V7" s="87"/>
      <c r="W7" s="87"/>
      <c r="X7" s="87"/>
      <c r="Y7" s="87"/>
      <c r="Z7" s="87"/>
    </row>
    <row r="8" spans="1:33" ht="18" x14ac:dyDescent="0.4">
      <c r="A8" s="83" t="s">
        <v>17</v>
      </c>
      <c r="B8" s="108" t="s">
        <v>74</v>
      </c>
      <c r="C8" s="108"/>
      <c r="D8" s="108"/>
      <c r="E8" s="108"/>
      <c r="F8" s="108"/>
      <c r="G8" s="85"/>
      <c r="H8" s="85"/>
      <c r="I8" s="16"/>
      <c r="J8" s="16"/>
      <c r="K8" s="16"/>
      <c r="Q8" s="86" t="s">
        <v>43</v>
      </c>
      <c r="R8" s="87"/>
      <c r="S8" s="87"/>
      <c r="T8" s="87"/>
      <c r="U8" s="87"/>
      <c r="V8" s="87"/>
      <c r="W8" s="87"/>
      <c r="X8" s="87"/>
      <c r="Y8" s="87"/>
      <c r="Z8" s="87"/>
    </row>
    <row r="9" spans="1:33" ht="18" x14ac:dyDescent="0.4">
      <c r="A9" s="11" t="s">
        <v>18</v>
      </c>
      <c r="B9" s="31">
        <v>5358</v>
      </c>
      <c r="C9" s="13"/>
      <c r="F9" s="14"/>
      <c r="G9" s="14"/>
      <c r="H9" s="14"/>
      <c r="I9" s="14"/>
      <c r="J9" s="14"/>
      <c r="K9" s="14"/>
      <c r="Q9" s="86" t="s">
        <v>44</v>
      </c>
      <c r="R9" s="87"/>
      <c r="S9" s="87"/>
      <c r="T9" s="87"/>
      <c r="U9" s="87"/>
      <c r="V9" s="87"/>
      <c r="W9" s="87"/>
      <c r="X9" s="87"/>
      <c r="Y9" s="87"/>
      <c r="Z9" s="87"/>
    </row>
    <row r="10" spans="1:33" ht="18" x14ac:dyDescent="0.4">
      <c r="A10" s="18" t="s">
        <v>32</v>
      </c>
      <c r="B10" s="32">
        <v>45451</v>
      </c>
      <c r="E10" s="80" t="s">
        <v>66</v>
      </c>
      <c r="F10" s="82"/>
      <c r="Q10" s="86" t="s">
        <v>45</v>
      </c>
      <c r="R10" s="87"/>
      <c r="S10" s="87"/>
      <c r="T10" s="87"/>
      <c r="U10" s="87"/>
      <c r="V10" s="87"/>
      <c r="W10" s="87"/>
      <c r="X10" s="87"/>
      <c r="Y10" s="87"/>
      <c r="Z10" s="87"/>
    </row>
    <row r="11" spans="1:33" ht="6" customHeight="1" x14ac:dyDescent="0.3">
      <c r="B11" s="45"/>
      <c r="Q11" s="87"/>
      <c r="R11" s="87"/>
      <c r="S11" s="87"/>
      <c r="T11" s="87"/>
      <c r="U11" s="87"/>
      <c r="V11" s="87"/>
      <c r="W11" s="87"/>
      <c r="X11" s="87"/>
      <c r="Y11" s="87"/>
      <c r="Z11" s="87"/>
    </row>
    <row r="12" spans="1:33" ht="18" customHeight="1" thickBot="1" x14ac:dyDescent="0.45">
      <c r="A12" s="41" t="s">
        <v>19</v>
      </c>
      <c r="B12" s="42">
        <v>45451</v>
      </c>
      <c r="Q12" s="86" t="s">
        <v>49</v>
      </c>
      <c r="R12" s="87"/>
      <c r="S12" s="87"/>
      <c r="T12" s="87"/>
      <c r="U12" s="87"/>
      <c r="V12" s="87"/>
      <c r="W12" s="87"/>
      <c r="X12" s="87"/>
      <c r="Y12" s="87"/>
      <c r="Z12" s="87"/>
    </row>
    <row r="13" spans="1:33" ht="18.5" thickBot="1" x14ac:dyDescent="0.45">
      <c r="A13" s="9" t="s">
        <v>20</v>
      </c>
      <c r="B13" s="33">
        <v>0.29166666666666669</v>
      </c>
      <c r="D13" s="103" t="s">
        <v>51</v>
      </c>
      <c r="E13" s="104"/>
      <c r="F13" s="104"/>
      <c r="G13" s="104"/>
      <c r="H13" s="104"/>
      <c r="I13" s="105" t="s">
        <v>47</v>
      </c>
      <c r="J13" s="104"/>
      <c r="K13" s="106"/>
      <c r="Q13" s="86" t="s">
        <v>48</v>
      </c>
      <c r="R13" s="87"/>
      <c r="S13" s="87"/>
      <c r="T13" s="87"/>
      <c r="U13" s="87"/>
      <c r="V13" s="87"/>
      <c r="W13" s="87"/>
      <c r="X13" s="87"/>
      <c r="Y13" s="87"/>
      <c r="Z13" s="87"/>
    </row>
    <row r="14" spans="1:33" ht="14.5" thickBot="1" x14ac:dyDescent="0.35">
      <c r="D14" s="5" t="s">
        <v>21</v>
      </c>
      <c r="E14" s="6" t="s">
        <v>22</v>
      </c>
      <c r="F14" s="24" t="s">
        <v>23</v>
      </c>
      <c r="G14" s="24" t="s">
        <v>24</v>
      </c>
      <c r="H14" s="25" t="s">
        <v>25</v>
      </c>
      <c r="I14" s="6" t="s">
        <v>37</v>
      </c>
      <c r="J14" s="6" t="s">
        <v>38</v>
      </c>
      <c r="K14" s="7" t="s">
        <v>39</v>
      </c>
      <c r="L14" t="s">
        <v>0</v>
      </c>
      <c r="M14" t="s">
        <v>1</v>
      </c>
      <c r="N14" t="s">
        <v>2</v>
      </c>
      <c r="O14" t="s">
        <v>3</v>
      </c>
      <c r="Q14" s="86" t="s">
        <v>67</v>
      </c>
      <c r="R14" s="87"/>
      <c r="S14" s="87"/>
      <c r="T14" s="87"/>
      <c r="U14" s="87"/>
      <c r="V14" s="87"/>
      <c r="W14" s="87"/>
      <c r="X14" s="87"/>
      <c r="Y14" s="87"/>
      <c r="Z14" s="87"/>
    </row>
    <row r="15" spans="1:33" ht="17" customHeight="1" x14ac:dyDescent="0.3">
      <c r="C15" s="2" t="s">
        <v>4</v>
      </c>
      <c r="D15" s="15">
        <v>0</v>
      </c>
      <c r="E15" s="34" t="s">
        <v>75</v>
      </c>
      <c r="F15" s="35" t="s">
        <v>79</v>
      </c>
      <c r="G15" s="35" t="s">
        <v>80</v>
      </c>
      <c r="H15" s="36"/>
      <c r="I15" s="35"/>
      <c r="J15" s="35"/>
      <c r="K15" s="36"/>
      <c r="L15" s="3">
        <f>Start_date+Start_time</f>
        <v>45451.291666666664</v>
      </c>
      <c r="M15" s="3">
        <f>L15+"1:00"</f>
        <v>45451.333333333328</v>
      </c>
      <c r="N15" s="4">
        <f>IF(ISBLANK(Distance),"",Open Control_1)</f>
        <v>45451.291666666664</v>
      </c>
      <c r="O15" s="4">
        <f>IF(ISBLANK(Distance),"",Close Control_1)</f>
        <v>45451.333333333328</v>
      </c>
      <c r="Q15" s="86" t="s">
        <v>72</v>
      </c>
      <c r="R15" s="87"/>
      <c r="S15" s="87"/>
      <c r="T15" s="87"/>
      <c r="U15" s="87"/>
      <c r="V15" s="87"/>
      <c r="W15" s="87"/>
      <c r="X15" s="87"/>
      <c r="Y15" s="87"/>
      <c r="Z15" s="87"/>
    </row>
    <row r="16" spans="1:33" ht="17" customHeight="1" x14ac:dyDescent="0.3">
      <c r="B16" s="38"/>
      <c r="C16" s="2" t="s">
        <v>5</v>
      </c>
      <c r="D16" s="15">
        <v>86.1</v>
      </c>
      <c r="E16" s="34" t="s">
        <v>76</v>
      </c>
      <c r="F16" s="35" t="s">
        <v>81</v>
      </c>
      <c r="G16" s="35" t="s">
        <v>82</v>
      </c>
      <c r="H16" s="36"/>
      <c r="I16" s="35" t="s">
        <v>93</v>
      </c>
      <c r="J16" s="35" t="s">
        <v>94</v>
      </c>
      <c r="K16" s="36"/>
      <c r="L16">
        <f>IF(ISBLANK(Distance),"",IF(Distance&gt;1000,(Distance-1000)/26+33.0847,(IF(Distance&gt;600,(Distance-600)/28+18.799,(IF(Distance&gt;400,(Distance-400)/30+12.1324,(IF(Distance&gt;200,(Distance-200)/32+5.8824,Distance/34))))))))</f>
        <v>2.5323529411764705</v>
      </c>
      <c r="M16">
        <f>IF(ISBLANK(Distance),"",IF(Distance&gt;=brevet,D16200IF(brevet&gt;1200,(brevet-1200)*75/1000+90,Max_time),IF(Distance&gt;1200,(Distance-1200)*75/1000+90,IF(Distance&gt;1000,(Distance-1000)/(1000/75)+75,IF(Distance&gt;600,(Distance-600)/(400/35)+40,IF(Distance&lt;=60,(Distance/20+1),Distance/15))))))</f>
        <v>5.7399999999999993</v>
      </c>
      <c r="N16" s="4">
        <f>IF(ISBLANK(Distance),"",Open_time Control_1+(INT(Open)&amp;":"&amp;IF(ROUND(((Open-INT(Open))*60),0)&lt;10,0,"")&amp;ROUND(((Open-INT(Open))*60),0)))</f>
        <v>45451.397222222222</v>
      </c>
      <c r="O16" s="4">
        <f>IF(ISBLANK(Distance),"",Open_time Control_1+(INT(Close)&amp;":"&amp;IF(ROUND(((Close-INT(Close))*60),0)&lt;10,0,"")&amp;ROUND(((Close-INT(Close))*60),0)))</f>
        <v>45451.530555555553</v>
      </c>
      <c r="Q16" s="86" t="s">
        <v>68</v>
      </c>
      <c r="R16" s="87"/>
      <c r="S16" s="87"/>
      <c r="T16" s="87"/>
      <c r="U16" s="87"/>
      <c r="V16" s="87"/>
      <c r="W16" s="87"/>
      <c r="X16" s="87"/>
      <c r="Y16" s="87"/>
      <c r="Z16" s="87"/>
    </row>
    <row r="17" spans="2:26" ht="17" customHeight="1" x14ac:dyDescent="0.3">
      <c r="B17" s="38"/>
      <c r="C17" s="2" t="s">
        <v>6</v>
      </c>
      <c r="D17" s="15">
        <v>96.4</v>
      </c>
      <c r="E17" s="34" t="s">
        <v>76</v>
      </c>
      <c r="F17" s="35" t="s">
        <v>83</v>
      </c>
      <c r="G17" s="35"/>
      <c r="H17" s="36"/>
      <c r="I17" s="35" t="s">
        <v>96</v>
      </c>
      <c r="J17" s="35" t="s">
        <v>95</v>
      </c>
      <c r="K17" s="36"/>
      <c r="L17">
        <f>IF(ISBLANK(Distance),"",IF(Distance&gt;1000,(Distance-1000)/26+33.0847,(IF(Distance&gt;600,(Distance-600)/28+18.799,(IF(Distance&gt;400,(Distance-400)/30+12.1324,(IF(Distance&gt;200,(Distance-200)/32+5.8824,Distance/34))))))))</f>
        <v>2.835294117647059</v>
      </c>
      <c r="M17">
        <f t="shared" ref="M17:M24" si="0">IF(ISBLANK(Distance),"",IF(Distance&gt;=brevet,IF(brevet&gt;1200,(brevet-1200)*75/1000+90,Max_time),IF(Distance&gt;1200,(Distance-1200)*75/1000+90,IF(Distance&gt;1000,(Distance-1000)/(1000/75)+75,IF(Distance&gt;600,(Distance-600)/(400/35)+40,IF(Distance&lt;=60,(Distance/20+1),Distance/15))))))</f>
        <v>6.4266666666666667</v>
      </c>
      <c r="N17" s="4">
        <f>IF(ISBLANK(Distance),"",Open_time Control_1+(INT(Open)&amp;":"&amp;IF(ROUND(((Open-INT(Open))*60),0)&lt;10,0,"")&amp;ROUND(((Open-INT(Open))*60),0)))</f>
        <v>45451.409722222219</v>
      </c>
      <c r="O17" s="4">
        <f>IF(ISBLANK(Distance),"",Open_time Control_1+(INT(Close)&amp;":"&amp;IF(ROUND(((Close-INT(Close))*60),0)&lt;10,0,"")&amp;ROUND(((Close-INT(Close))*60),0)))</f>
        <v>45451.55972222222</v>
      </c>
      <c r="Q17" s="86" t="s">
        <v>46</v>
      </c>
      <c r="R17" s="87"/>
      <c r="S17" s="87"/>
      <c r="T17" s="87"/>
      <c r="U17" s="87"/>
      <c r="V17" s="87"/>
      <c r="W17" s="87"/>
      <c r="X17" s="87"/>
      <c r="Y17" s="87"/>
      <c r="Z17" s="87"/>
    </row>
    <row r="18" spans="2:26" ht="17" customHeight="1" x14ac:dyDescent="0.25">
      <c r="B18" s="38"/>
      <c r="C18" s="2" t="s">
        <v>7</v>
      </c>
      <c r="D18" s="15">
        <v>102.6</v>
      </c>
      <c r="E18" s="34" t="s">
        <v>76</v>
      </c>
      <c r="F18" s="35" t="s">
        <v>84</v>
      </c>
      <c r="G18" s="35" t="s">
        <v>85</v>
      </c>
      <c r="H18" s="36"/>
      <c r="I18" s="35" t="s">
        <v>93</v>
      </c>
      <c r="J18" s="35" t="s">
        <v>94</v>
      </c>
      <c r="K18" s="36"/>
      <c r="L18">
        <f t="shared" ref="L18:L24" si="1">IF(ISBLANK(Distance),"",IF(Distance&gt;1000,(Distance-1000)/26+33.0847,(IF(Distance&gt;600,(Distance-600)/28+18.799,(IF(Distance&gt;400,(Distance-400)/30+12.1324,(IF(Distance&gt;200,(Distance-200)/32+5.8824,Distance/34))))))))</f>
        <v>3.0176470588235293</v>
      </c>
      <c r="M18">
        <f t="shared" si="0"/>
        <v>6.84</v>
      </c>
      <c r="N18" s="4">
        <f>IF(ISBLANK(Distance),"",Open_time Control_1+(INT(Open)&amp;":"&amp;IF(ROUND(((Open-INT(Open))*60),0)&lt;10,0,"")&amp;ROUND(((Open-INT(Open))*60),0)))</f>
        <v>45451.417361111111</v>
      </c>
      <c r="O18" s="4">
        <f>IF(ISBLANK(Distance),"",Open_time Control_1+(INT(Close)&amp;":"&amp;IF(ROUND(((Close-INT(Close))*60),0)&lt;10,0,"")&amp;ROUND(((Close-INT(Close))*60),0)))</f>
        <v>45451.576388888883</v>
      </c>
    </row>
    <row r="19" spans="2:26" ht="17" customHeight="1" x14ac:dyDescent="0.25">
      <c r="B19" s="38"/>
      <c r="C19" s="2" t="s">
        <v>8</v>
      </c>
      <c r="D19" s="15">
        <v>155.9</v>
      </c>
      <c r="E19" s="34" t="s">
        <v>77</v>
      </c>
      <c r="F19" s="35" t="s">
        <v>86</v>
      </c>
      <c r="G19" s="35" t="s">
        <v>87</v>
      </c>
      <c r="H19" s="36"/>
      <c r="I19" s="35" t="s">
        <v>93</v>
      </c>
      <c r="J19" s="35" t="s">
        <v>97</v>
      </c>
      <c r="K19" s="36" t="s">
        <v>98</v>
      </c>
      <c r="L19">
        <f t="shared" si="1"/>
        <v>4.5852941176470594</v>
      </c>
      <c r="M19">
        <f t="shared" si="0"/>
        <v>10.393333333333334</v>
      </c>
      <c r="N19" s="4">
        <f>IF(ISBLANK(Distance),"",Open_time Control_1+(INT(Open)&amp;":"&amp;IF(ROUND(((Open-INT(Open))*60),0)&lt;10,0,"")&amp;ROUND(((Open-INT(Open))*60),0)))</f>
        <v>45451.482638888883</v>
      </c>
      <c r="O19" s="4">
        <f>IF(ISBLANK(Distance),"",Open_time Control_1+(INT(Close)&amp;":"&amp;IF(ROUND(((Close-INT(Close))*60),0)&lt;10,0,"")&amp;ROUND(((Close-INT(Close))*60),0)))</f>
        <v>45451.724999999999</v>
      </c>
      <c r="Q19" s="40"/>
    </row>
    <row r="20" spans="2:26" ht="17" customHeight="1" x14ac:dyDescent="0.25">
      <c r="B20" s="38"/>
      <c r="C20" s="2" t="s">
        <v>9</v>
      </c>
      <c r="D20" s="15">
        <v>184.4</v>
      </c>
      <c r="E20" s="34" t="s">
        <v>78</v>
      </c>
      <c r="F20" s="35" t="s">
        <v>88</v>
      </c>
      <c r="G20" s="35" t="s">
        <v>89</v>
      </c>
      <c r="H20" s="36" t="s">
        <v>90</v>
      </c>
      <c r="I20" s="35" t="s">
        <v>99</v>
      </c>
      <c r="J20" s="35" t="s">
        <v>100</v>
      </c>
      <c r="K20" s="36"/>
      <c r="L20">
        <f t="shared" si="1"/>
        <v>5.4235294117647062</v>
      </c>
      <c r="M20">
        <f t="shared" si="0"/>
        <v>12.293333333333333</v>
      </c>
      <c r="N20" s="4">
        <f>IF(ISBLANK(Distance),"",Open_time Control_1+(INT(Open)&amp;":"&amp;IF(ROUND(((Open-INT(Open))*60),0)&lt;10,0,"")&amp;ROUND(((Open-INT(Open))*60),0)))</f>
        <v>45451.517361111109</v>
      </c>
      <c r="O20" s="4">
        <f>IF(ISBLANK(Distance),"",Open_time Control_1+(INT(Close)&amp;":"&amp;IF(ROUND(((Close-INT(Close))*60),0)&lt;10,0,"")&amp;ROUND(((Close-INT(Close))*60),0)))</f>
        <v>45451.804166666661</v>
      </c>
    </row>
    <row r="21" spans="2:26" ht="17" customHeight="1" x14ac:dyDescent="0.25">
      <c r="B21" s="38"/>
      <c r="C21" s="2" t="s">
        <v>10</v>
      </c>
      <c r="D21" s="15">
        <v>201.4</v>
      </c>
      <c r="E21" s="34" t="s">
        <v>75</v>
      </c>
      <c r="F21" s="35" t="s">
        <v>91</v>
      </c>
      <c r="G21" s="35" t="s">
        <v>92</v>
      </c>
      <c r="H21" s="36"/>
      <c r="I21" s="35" t="s">
        <v>101</v>
      </c>
      <c r="J21" s="35" t="s">
        <v>102</v>
      </c>
      <c r="K21" s="36"/>
      <c r="L21">
        <f t="shared" si="1"/>
        <v>5.9261499999999998</v>
      </c>
      <c r="M21">
        <f t="shared" si="0"/>
        <v>13.5</v>
      </c>
      <c r="N21" s="4">
        <f>IF(ISBLANK(Distance),"",Open_time Control_1+(INT(Open)&amp;":"&amp;IF(ROUND(((Open-INT(Open))*60),0)&lt;10,0,"")&amp;ROUND(((Open-INT(Open))*60),0)))</f>
        <v>45451.538888888885</v>
      </c>
      <c r="O21" s="4">
        <f>IF(ISBLANK(Distance),"",Open_time Control_1+(INT(Close)&amp;":"&amp;IF(ROUND(((Close-INT(Close))*60),0)&lt;10,0,"")&amp;ROUND(((Close-INT(Close))*60),0)))</f>
        <v>45451.854166666664</v>
      </c>
    </row>
    <row r="22" spans="2:26" ht="17" customHeight="1" x14ac:dyDescent="0.25">
      <c r="B22" s="38"/>
      <c r="C22" s="2" t="s">
        <v>11</v>
      </c>
      <c r="D22" s="15"/>
      <c r="E22" s="34"/>
      <c r="F22" s="35"/>
      <c r="G22" s="35"/>
      <c r="H22" s="36"/>
      <c r="I22" s="35"/>
      <c r="J22" s="35"/>
      <c r="K22" s="36"/>
      <c r="L22" t="str">
        <f t="shared" si="1"/>
        <v/>
      </c>
      <c r="M22" t="str">
        <f t="shared" si="0"/>
        <v/>
      </c>
      <c r="N22" s="4" t="str">
        <f>IF(ISBLANK(Distance),"",Open_time Control_1+(INT(Open)&amp;":"&amp;IF(ROUND(((Open-INT(Open))*60),0)&lt;10,0,"")&amp;ROUND(((Open-INT(Open))*60),0)))</f>
        <v/>
      </c>
      <c r="O22" s="4" t="str">
        <f>IF(ISBLANK(Distance),"",Open_time Control_1+(INT(Close)&amp;":"&amp;IF(ROUND(((Close-INT(Close))*60),0)&lt;10,0,"")&amp;ROUND(((Close-INT(Close))*60),0)))</f>
        <v/>
      </c>
    </row>
    <row r="23" spans="2:26" ht="17" customHeight="1" x14ac:dyDescent="0.25">
      <c r="B23" s="38"/>
      <c r="C23" s="2" t="s">
        <v>12</v>
      </c>
      <c r="D23" s="15"/>
      <c r="E23" s="34"/>
      <c r="F23" s="35"/>
      <c r="G23" s="35"/>
      <c r="H23" s="36"/>
      <c r="I23" s="35"/>
      <c r="J23" s="35"/>
      <c r="K23" s="36"/>
      <c r="L23" t="str">
        <f t="shared" si="1"/>
        <v/>
      </c>
      <c r="M23" t="str">
        <f t="shared" si="0"/>
        <v/>
      </c>
      <c r="N23" s="4" t="str">
        <f>IF(ISBLANK(Distance),"",Open_time Control_1+(INT(Open)&amp;":"&amp;IF(ROUND(((Open-INT(Open))*60),0)&lt;10,0,"")&amp;ROUND(((Open-INT(Open))*60),0)))</f>
        <v/>
      </c>
      <c r="O23" s="4" t="str">
        <f>IF(ISBLANK(Distance),"",Open_time Control_1+(INT(Close)&amp;":"&amp;IF(ROUND(((Close-INT(Close))*60),0)&lt;10,0,"")&amp;ROUND(((Close-INT(Close))*60),0)))</f>
        <v/>
      </c>
    </row>
    <row r="24" spans="2:26" ht="17" customHeight="1" thickBot="1" x14ac:dyDescent="0.3">
      <c r="B24" s="38"/>
      <c r="C24" s="2" t="s">
        <v>13</v>
      </c>
      <c r="D24" s="20"/>
      <c r="E24" s="37"/>
      <c r="F24" s="35"/>
      <c r="G24" s="35"/>
      <c r="H24" s="36"/>
      <c r="I24" s="35"/>
      <c r="J24" s="35"/>
      <c r="K24" s="36"/>
      <c r="L24" t="str">
        <f t="shared" si="1"/>
        <v/>
      </c>
      <c r="M24" t="str">
        <f t="shared" si="0"/>
        <v/>
      </c>
      <c r="N24" s="4" t="str">
        <f>IF(ISBLANK(Distance),"",Open_time Control_1+(INT(Open)&amp;":"&amp;IF(ROUND(((Open-INT(Open))*60),0)&lt;10,0,"")&amp;ROUND(((Open-INT(Open))*60),0)))</f>
        <v/>
      </c>
      <c r="O24" s="4" t="str">
        <f>IF(ISBLANK(Distance),"",Open_time Control_1+(INT(Close)&amp;":"&amp;IF(ROUND(((Close-INT(Close))*60),0)&lt;10,0,"")&amp;ROUND(((Close-INT(Close))*60),0)))</f>
        <v/>
      </c>
    </row>
    <row r="25" spans="2:26" ht="7" customHeight="1" thickBot="1" x14ac:dyDescent="0.45">
      <c r="D25" s="26"/>
      <c r="E25" s="27"/>
      <c r="F25" s="28"/>
      <c r="G25" s="28"/>
      <c r="H25" s="28"/>
      <c r="I25" s="28"/>
      <c r="J25" s="28"/>
      <c r="K25" s="29"/>
      <c r="N25" s="4"/>
      <c r="O25" s="4"/>
    </row>
    <row r="26" spans="2:26" ht="13" thickBot="1" x14ac:dyDescent="0.3">
      <c r="D26" s="103" t="s">
        <v>69</v>
      </c>
      <c r="E26" s="104"/>
      <c r="F26" s="104"/>
      <c r="G26" s="104"/>
      <c r="H26" s="104"/>
      <c r="I26" s="105" t="s">
        <v>70</v>
      </c>
      <c r="J26" s="104"/>
      <c r="K26" s="106"/>
    </row>
    <row r="27" spans="2:26" ht="13.5" thickBot="1" x14ac:dyDescent="0.35">
      <c r="D27" s="5" t="s">
        <v>21</v>
      </c>
      <c r="E27" s="6" t="s">
        <v>22</v>
      </c>
      <c r="F27" s="24" t="s">
        <v>23</v>
      </c>
      <c r="G27" s="24" t="s">
        <v>24</v>
      </c>
      <c r="H27" s="25" t="s">
        <v>25</v>
      </c>
      <c r="I27" s="6" t="s">
        <v>37</v>
      </c>
      <c r="J27" s="6" t="s">
        <v>38</v>
      </c>
      <c r="K27" s="7" t="s">
        <v>39</v>
      </c>
      <c r="L27" t="s">
        <v>0</v>
      </c>
      <c r="M27" t="s">
        <v>1</v>
      </c>
      <c r="N27" t="s">
        <v>2</v>
      </c>
      <c r="O27" t="s">
        <v>3</v>
      </c>
    </row>
    <row r="28" spans="2:26" ht="17" customHeight="1" x14ac:dyDescent="0.25">
      <c r="D28" s="15"/>
      <c r="E28" s="34"/>
      <c r="F28" s="35"/>
      <c r="G28" s="35"/>
      <c r="H28" s="36"/>
      <c r="I28" s="35"/>
      <c r="J28" s="35"/>
      <c r="K28" s="36"/>
      <c r="L28" t="str">
        <f>IF(ISBLANK(D28),"",IF(D28&gt;1000,(D28-1000)/26+33.0847,(IF(D28&gt;600,(D28-600)/28+18.799,(IF(D28&gt;400,(D28-400)/30+12.1324,(IF(D28&gt;200,(D28-200)/32+5.8824,D28/34))))))))</f>
        <v/>
      </c>
      <c r="M28" t="str">
        <f t="shared" ref="M28:M37" si="2">IF(ISBLANK(D28),"",IF((D28=0),1,IF(D28&gt;=brevet,IF(brevet&gt;1200,(brevet-1200)*75/1000+90,Max_time),IF(D28&gt;1200,(D28-1200)*75/1000+90,IF(D28&gt;1000,(D28-1000)/(1000/75)+75,IF(D28&gt;600,(D28-600)/(400/35)+40,IF(D28&lt;=60,D28/20+1,D28/15)))))))</f>
        <v/>
      </c>
      <c r="N28" s="4" t="str">
        <f>IF(ISBLANK(D28),"",Open_time Control_1+(INT(L28)&amp;":"&amp;IF(ROUND(((L28-INT(L28))*60),0)&lt;10,0,"")&amp;ROUND(((L28-INT(L28))*60),0)))</f>
        <v/>
      </c>
      <c r="O28" s="4" t="str">
        <f>IF(ISBLANK(D28),"",Open_time Control_1+(INT(M28)&amp;":"&amp;IF(ROUND(((M28-INT(M28))*60),0)&lt;10,0,"")&amp;ROUND(((M28-INT(M28))*60),0)))</f>
        <v/>
      </c>
    </row>
    <row r="29" spans="2:26" ht="17" customHeight="1" x14ac:dyDescent="0.25">
      <c r="D29" s="15"/>
      <c r="E29" s="34"/>
      <c r="F29" s="35"/>
      <c r="G29" s="35"/>
      <c r="H29" s="36"/>
      <c r="I29" s="35"/>
      <c r="J29" s="35"/>
      <c r="K29" s="36"/>
      <c r="L29" t="str">
        <f t="shared" ref="L29:L37" si="3">IF(ISBLANK(D29),"",IF(D29&gt;1000,(D29-1000)/26+33.0847,(IF(D29&gt;600,(D29-600)/28+18.799,(IF(D29&gt;400,(D29-400)/30+12.1324,(IF(D29&gt;200,(D29-200)/32+5.8824,D29/34))))))))</f>
        <v/>
      </c>
      <c r="M29" t="str">
        <f t="shared" si="2"/>
        <v/>
      </c>
      <c r="N29" s="4" t="str">
        <f>IF(ISBLANK(D29),"",Open_time Control_1+(INT(L29)&amp;":"&amp;IF(ROUND(((L29-INT(L29))*60),0)&lt;10,0,"")&amp;ROUND(((L29-INT(L29))*60),0)))</f>
        <v/>
      </c>
      <c r="O29" s="4" t="str">
        <f>IF(ISBLANK(D29),"",Open_time Control_1+(INT(M29)&amp;":"&amp;IF(ROUND(((M29-INT(M29))*60),0)&lt;10,0,"")&amp;ROUND(((M29-INT(M29))*60),0)))</f>
        <v/>
      </c>
    </row>
    <row r="30" spans="2:26" ht="17" customHeight="1" x14ac:dyDescent="0.25">
      <c r="D30" s="15"/>
      <c r="E30" s="34"/>
      <c r="F30" s="35"/>
      <c r="G30" s="35"/>
      <c r="H30" s="36"/>
      <c r="I30" s="35"/>
      <c r="J30" s="35"/>
      <c r="K30" s="36"/>
      <c r="L30" t="str">
        <f t="shared" si="3"/>
        <v/>
      </c>
      <c r="M30" t="str">
        <f t="shared" si="2"/>
        <v/>
      </c>
      <c r="N30" s="4" t="str">
        <f>IF(ISBLANK(D30),"",Open_time Control_1+(INT(L30)&amp;":"&amp;IF(ROUND(((L30-INT(L30))*60),0)&lt;10,0,"")&amp;ROUND(((L30-INT(L30))*60),0)))</f>
        <v/>
      </c>
      <c r="O30" s="4" t="str">
        <f>IF(ISBLANK(D30),"",Open_time Control_1+(INT(M30)&amp;":"&amp;IF(ROUND(((M30-INT(M30))*60),0)&lt;10,0,"")&amp;ROUND(((M30-INT(M30))*60),0)))</f>
        <v/>
      </c>
    </row>
    <row r="31" spans="2:26" ht="17" customHeight="1" x14ac:dyDescent="0.25">
      <c r="D31" s="15"/>
      <c r="E31" s="34"/>
      <c r="F31" s="35"/>
      <c r="G31" s="35"/>
      <c r="H31" s="36"/>
      <c r="I31" s="35"/>
      <c r="J31" s="35"/>
      <c r="K31" s="36"/>
      <c r="L31" t="str">
        <f t="shared" si="3"/>
        <v/>
      </c>
      <c r="M31" t="str">
        <f t="shared" si="2"/>
        <v/>
      </c>
      <c r="N31" s="4" t="str">
        <f>IF(ISBLANK(D31),"",Open_time Control_1+(INT(L31)&amp;":"&amp;IF(ROUND(((L31-INT(L31))*60),0)&lt;10,0,"")&amp;ROUND(((L31-INT(L31))*60),0)))</f>
        <v/>
      </c>
      <c r="O31" s="4" t="str">
        <f>IF(ISBLANK(D31),"",Open_time Control_1+(INT(M31)&amp;":"&amp;IF(ROUND(((M31-INT(M31))*60),0)&lt;10,0,"")&amp;ROUND(((M31-INT(M31))*60),0)))</f>
        <v/>
      </c>
    </row>
    <row r="32" spans="2:26" ht="17" customHeight="1" x14ac:dyDescent="0.25">
      <c r="D32" s="15"/>
      <c r="E32" s="34"/>
      <c r="F32" s="35"/>
      <c r="G32" s="35"/>
      <c r="H32" s="36"/>
      <c r="I32" s="35"/>
      <c r="J32" s="35"/>
      <c r="K32" s="36"/>
      <c r="L32" t="str">
        <f t="shared" si="3"/>
        <v/>
      </c>
      <c r="M32" t="str">
        <f t="shared" si="2"/>
        <v/>
      </c>
      <c r="N32" s="4" t="str">
        <f>IF(ISBLANK(D32),"",Open_time Control_1+(INT(L32)&amp;":"&amp;IF(ROUND(((L32-INT(L32))*60),0)&lt;10,0,"")&amp;ROUND(((L32-INT(L32))*60),0)))</f>
        <v/>
      </c>
      <c r="O32" s="4" t="str">
        <f>IF(ISBLANK(D32),"",Open_time Control_1+(INT(M32)&amp;":"&amp;IF(ROUND(((M32-INT(M32))*60),0)&lt;10,0,"")&amp;ROUND(((M32-INT(M32))*60),0)))</f>
        <v/>
      </c>
    </row>
    <row r="33" spans="4:15" ht="17" customHeight="1" x14ac:dyDescent="0.25">
      <c r="D33" s="15"/>
      <c r="E33" s="34"/>
      <c r="F33" s="35"/>
      <c r="G33" s="35"/>
      <c r="H33" s="36"/>
      <c r="I33" s="35"/>
      <c r="J33" s="35"/>
      <c r="K33" s="36"/>
      <c r="L33" t="str">
        <f t="shared" si="3"/>
        <v/>
      </c>
      <c r="M33" t="str">
        <f t="shared" si="2"/>
        <v/>
      </c>
      <c r="N33" s="4" t="str">
        <f>IF(ISBLANK(D33),"",Open_time Control_1+(INT(L33)&amp;":"&amp;IF(ROUND(((L33-INT(L33))*60),0)&lt;10,0,"")&amp;ROUND(((L33-INT(L33))*60),0)))</f>
        <v/>
      </c>
      <c r="O33" s="4" t="str">
        <f>IF(ISBLANK(D33),"",Open_time Control_1+(INT(M33)&amp;":"&amp;IF(ROUND(((M33-INT(M33))*60),0)&lt;10,0,"")&amp;ROUND(((M33-INT(M33))*60),0)))</f>
        <v/>
      </c>
    </row>
    <row r="34" spans="4:15" ht="17" customHeight="1" x14ac:dyDescent="0.25">
      <c r="D34" s="15"/>
      <c r="E34" s="34"/>
      <c r="F34" s="35"/>
      <c r="G34" s="35"/>
      <c r="H34" s="36"/>
      <c r="I34" s="35"/>
      <c r="J34" s="35"/>
      <c r="K34" s="36"/>
      <c r="L34" t="str">
        <f t="shared" si="3"/>
        <v/>
      </c>
      <c r="M34" t="str">
        <f t="shared" si="2"/>
        <v/>
      </c>
      <c r="N34" s="4" t="str">
        <f>IF(ISBLANK(D34),"",Open_time Control_1+(INT(L34)&amp;":"&amp;IF(ROUND(((L34-INT(L34))*60),0)&lt;10,0,"")&amp;ROUND(((L34-INT(L34))*60),0)))</f>
        <v/>
      </c>
      <c r="O34" s="4" t="str">
        <f>IF(ISBLANK(D34),"",Open_time Control_1+(INT(M34)&amp;":"&amp;IF(ROUND(((M34-INT(M34))*60),0)&lt;10,0,"")&amp;ROUND(((M34-INT(M34))*60),0)))</f>
        <v/>
      </c>
    </row>
    <row r="35" spans="4:15" ht="17" customHeight="1" x14ac:dyDescent="0.25">
      <c r="D35" s="15"/>
      <c r="E35" s="34"/>
      <c r="F35" s="35"/>
      <c r="G35" s="35"/>
      <c r="H35" s="36"/>
      <c r="I35" s="35"/>
      <c r="J35" s="35"/>
      <c r="K35" s="36"/>
      <c r="L35" t="str">
        <f t="shared" si="3"/>
        <v/>
      </c>
      <c r="M35" t="str">
        <f t="shared" si="2"/>
        <v/>
      </c>
      <c r="N35" s="4" t="str">
        <f>IF(ISBLANK(D35),"",Open_time Control_1+(INT(L35)&amp;":"&amp;IF(ROUND(((L35-INT(L35))*60),0)&lt;10,0,"")&amp;ROUND(((L35-INT(L35))*60),0)))</f>
        <v/>
      </c>
      <c r="O35" s="4" t="str">
        <f>IF(ISBLANK(D35),"",Open_time Control_1+(INT(M35)&amp;":"&amp;IF(ROUND(((M35-INT(M35))*60),0)&lt;10,0,"")&amp;ROUND(((M35-INT(M35))*60),0)))</f>
        <v/>
      </c>
    </row>
    <row r="36" spans="4:15" ht="17" customHeight="1" x14ac:dyDescent="0.25">
      <c r="D36" s="15"/>
      <c r="E36" s="34"/>
      <c r="F36" s="35"/>
      <c r="G36" s="35"/>
      <c r="H36" s="36"/>
      <c r="I36" s="35"/>
      <c r="J36" s="35"/>
      <c r="K36" s="36"/>
      <c r="L36" t="str">
        <f t="shared" si="3"/>
        <v/>
      </c>
      <c r="M36" t="str">
        <f t="shared" si="2"/>
        <v/>
      </c>
      <c r="N36" s="4" t="str">
        <f>IF(ISBLANK(D36),"",Open_time Control_1+(INT(L36)&amp;":"&amp;IF(ROUND(((L36-INT(L36))*60),0)&lt;10,0,"")&amp;ROUND(((L36-INT(L36))*60),0)))</f>
        <v/>
      </c>
      <c r="O36" s="4" t="str">
        <f>IF(ISBLANK(D36),"",Open_time Control_1+(INT(M36)&amp;":"&amp;IF(ROUND(((M36-INT(M36))*60),0)&lt;10,0,"")&amp;ROUND(((M36-INT(M36))*60),0)))</f>
        <v/>
      </c>
    </row>
    <row r="37" spans="4:15" ht="17" customHeight="1" thickBot="1" x14ac:dyDescent="0.3">
      <c r="D37" s="20"/>
      <c r="E37" s="34"/>
      <c r="F37" s="35"/>
      <c r="G37" s="35"/>
      <c r="H37" s="36"/>
      <c r="I37" s="35"/>
      <c r="J37" s="35"/>
      <c r="K37" s="36"/>
      <c r="L37" t="str">
        <f t="shared" si="3"/>
        <v/>
      </c>
      <c r="M37" t="str">
        <f t="shared" si="2"/>
        <v/>
      </c>
      <c r="N37" s="4" t="str">
        <f>IF(ISBLANK(D37),"",Open_time Control_1+(INT(L37)&amp;":"&amp;IF(ROUND(((L37-INT(L37))*60),0)&lt;10,0,"")&amp;ROUND(((L37-INT(L37))*60),0)))</f>
        <v/>
      </c>
      <c r="O37" s="4" t="str">
        <f>IF(ISBLANK(D37),"",Open_time Control_1+(INT(M37)&amp;":"&amp;IF(ROUND(((M37-INT(M37))*60),0)&lt;10,0,"")&amp;ROUND(((M37-INT(M37))*60),0)))</f>
        <v/>
      </c>
    </row>
  </sheetData>
  <sheetProtection algorithmName="SHA-512" hashValue="D8qywzNb40cUiVle2DcjUmxCsRIaO5HEQS3AFyML+XvcGNrr85HZL3oGkY7bVUKDPJKALNXAjH4Ou+WV1jzmcg==" saltValue="7U8Wfb5GFDUrDvVAN8JerA==" spinCount="100000" sheet="1" objects="1" scenarios="1" formatCells="0" selectLockedCells="1"/>
  <mergeCells count="8">
    <mergeCell ref="D26:H26"/>
    <mergeCell ref="I26:K26"/>
    <mergeCell ref="A1:G1"/>
    <mergeCell ref="B8:F8"/>
    <mergeCell ref="Q1:AF4"/>
    <mergeCell ref="J6:K6"/>
    <mergeCell ref="D13:H13"/>
    <mergeCell ref="I13:K13"/>
  </mergeCells>
  <phoneticPr fontId="13" type="noConversion"/>
  <pageMargins left="0.75" right="0.75" top="1" bottom="1" header="0.5" footer="0.5"/>
  <pageSetup orientation="portrait" horizontalDpi="4294967292" verticalDpi="4294967292"/>
  <legacy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014ED8-B2B3-3C4A-953E-40C153A6C07C}">
  <sheetPr>
    <pageSetUpPr fitToPage="1"/>
  </sheetPr>
  <dimension ref="B1:O57"/>
  <sheetViews>
    <sheetView tabSelected="1" topLeftCell="A25" zoomScale="80" zoomScaleNormal="80" zoomScalePageLayoutView="75" workbookViewId="0">
      <selection activeCell="D11" sqref="D11"/>
    </sheetView>
  </sheetViews>
  <sheetFormatPr defaultColWidth="8.81640625" defaultRowHeight="12.5" x14ac:dyDescent="0.25"/>
  <cols>
    <col min="1" max="1" width="1.81640625" customWidth="1"/>
    <col min="2" max="2" width="12.81640625" customWidth="1"/>
    <col min="3" max="4" width="15.81640625" customWidth="1"/>
    <col min="5" max="5" width="25.81640625" customWidth="1"/>
    <col min="6" max="6" width="40.81640625" customWidth="1"/>
    <col min="7" max="7" width="12.81640625" customWidth="1"/>
    <col min="8" max="8" width="25.81640625" customWidth="1"/>
    <col min="9" max="9" width="30.81640625" customWidth="1"/>
    <col min="10" max="10" width="25.81640625" customWidth="1"/>
    <col min="11" max="11" width="1.81640625" customWidth="1"/>
    <col min="12" max="12" width="8.81640625" customWidth="1"/>
  </cols>
  <sheetData>
    <row r="1" spans="2:15" x14ac:dyDescent="0.25">
      <c r="K1" s="75"/>
      <c r="L1" s="75"/>
      <c r="M1" s="75"/>
    </row>
    <row r="2" spans="2:15" ht="17.5" x14ac:dyDescent="0.35">
      <c r="C2" s="111" t="s">
        <v>33</v>
      </c>
      <c r="D2" s="111"/>
      <c r="E2" s="111"/>
      <c r="F2" s="111"/>
      <c r="G2" s="55"/>
      <c r="H2" s="55"/>
      <c r="I2" s="78" t="s">
        <v>58</v>
      </c>
      <c r="J2" s="79">
        <f>'Control Entry'!B4</f>
        <v>45444</v>
      </c>
      <c r="K2" s="55"/>
      <c r="L2" s="55"/>
    </row>
    <row r="3" spans="2:15" ht="45" customHeight="1" x14ac:dyDescent="0.85">
      <c r="D3" s="12"/>
      <c r="E3" s="120" t="s">
        <v>29</v>
      </c>
      <c r="F3" s="120"/>
      <c r="G3" s="120"/>
      <c r="H3" s="120"/>
      <c r="I3" s="66" t="s">
        <v>60</v>
      </c>
      <c r="J3" s="71">
        <f>IF(ISBLANK(Brevet_Number),"",Brevet_Number)</f>
        <v>5358</v>
      </c>
      <c r="K3" s="39"/>
      <c r="L3" s="39"/>
    </row>
    <row r="4" spans="2:15" ht="20" customHeight="1" x14ac:dyDescent="0.25">
      <c r="C4" s="12"/>
      <c r="E4" s="121" t="str">
        <f>IF(ISBLANK(Brevet_Length),"",Brevet_Length&amp;" km Randonnée")</f>
        <v>200 km Randonnée</v>
      </c>
      <c r="F4" s="121"/>
      <c r="G4" s="121"/>
      <c r="H4" s="121"/>
      <c r="K4" s="51"/>
      <c r="L4" s="51"/>
    </row>
    <row r="5" spans="2:15" ht="20" customHeight="1" x14ac:dyDescent="0.4">
      <c r="D5" s="52"/>
      <c r="E5" s="119" t="str">
        <f>IF(ISBLANK(Brevet_Description),"",Brevet_Description)</f>
        <v>LM June 200</v>
      </c>
      <c r="F5" s="119"/>
      <c r="G5" s="119"/>
      <c r="H5" s="119"/>
      <c r="I5" s="74"/>
      <c r="J5" s="52"/>
      <c r="K5" s="52"/>
      <c r="L5" s="52"/>
    </row>
    <row r="6" spans="2:15" ht="20" x14ac:dyDescent="0.4">
      <c r="D6" s="67"/>
      <c r="E6" s="119"/>
      <c r="F6" s="119"/>
      <c r="G6" s="119"/>
      <c r="H6" s="119"/>
      <c r="I6" s="74"/>
      <c r="J6" s="67"/>
      <c r="K6" s="52"/>
      <c r="L6" s="52"/>
    </row>
    <row r="7" spans="2:15" ht="25" customHeight="1" x14ac:dyDescent="0.25">
      <c r="C7" s="115"/>
      <c r="D7" s="115"/>
      <c r="E7" s="115"/>
      <c r="F7" s="115"/>
      <c r="H7" s="117"/>
    </row>
    <row r="8" spans="2:15" ht="20.5" thickBot="1" x14ac:dyDescent="0.45">
      <c r="B8" s="17" t="s">
        <v>61</v>
      </c>
      <c r="C8" s="116"/>
      <c r="D8" s="116"/>
      <c r="E8" s="116"/>
      <c r="F8" s="116"/>
      <c r="G8" s="17" t="s">
        <v>31</v>
      </c>
      <c r="H8" s="118"/>
      <c r="I8" s="53"/>
      <c r="J8" s="53"/>
      <c r="K8" s="53"/>
    </row>
    <row r="9" spans="2:15" ht="22" customHeight="1" x14ac:dyDescent="0.25">
      <c r="B9" s="58"/>
      <c r="C9" s="58"/>
      <c r="D9" s="58"/>
      <c r="E9" s="58"/>
      <c r="F9" s="54"/>
      <c r="G9" s="60"/>
      <c r="H9" s="60"/>
      <c r="I9" s="60"/>
      <c r="J9" s="54"/>
    </row>
    <row r="10" spans="2:15" ht="20" customHeight="1" x14ac:dyDescent="0.25">
      <c r="B10" s="113" t="s">
        <v>34</v>
      </c>
      <c r="C10" s="113"/>
      <c r="D10" s="64" t="s">
        <v>35</v>
      </c>
      <c r="E10" s="114" t="s">
        <v>57</v>
      </c>
      <c r="F10" s="114"/>
      <c r="G10" s="114"/>
      <c r="H10" s="70"/>
      <c r="I10" s="59"/>
      <c r="J10" s="59"/>
      <c r="K10" s="19"/>
      <c r="L10" s="122"/>
      <c r="M10" s="122"/>
      <c r="N10" s="122"/>
      <c r="O10" s="122"/>
    </row>
    <row r="11" spans="2:15" ht="22.5" x14ac:dyDescent="0.25">
      <c r="B11" s="58"/>
      <c r="C11" s="58" t="s">
        <v>73</v>
      </c>
      <c r="D11" s="58"/>
      <c r="E11" s="58"/>
      <c r="F11" s="54"/>
      <c r="G11" s="60"/>
      <c r="H11" s="60"/>
      <c r="I11" s="60"/>
      <c r="J11" s="54"/>
    </row>
    <row r="12" spans="2:15" ht="20.5" thickBot="1" x14ac:dyDescent="0.45">
      <c r="D12" s="136" t="s">
        <v>19</v>
      </c>
      <c r="E12" s="136"/>
      <c r="F12" s="69">
        <f>IF(ISBLANK('Control Entry'!B12),"",'Control Entry'!B12)</f>
        <v>45451</v>
      </c>
      <c r="G12" s="73"/>
      <c r="H12" s="17" t="s">
        <v>63</v>
      </c>
      <c r="I12" s="68">
        <f>IF(ISBLANK('Control Entry'!B13),"",'Control Entry'!B13)</f>
        <v>0.29166666666666669</v>
      </c>
      <c r="J12" s="23"/>
    </row>
    <row r="13" spans="2:15" ht="20" x14ac:dyDescent="0.4">
      <c r="D13" s="22"/>
      <c r="E13" s="22"/>
      <c r="F13" s="21"/>
      <c r="G13" s="21"/>
      <c r="H13" s="21"/>
      <c r="L13" s="23"/>
      <c r="M13" s="23"/>
      <c r="N13" s="23"/>
    </row>
    <row r="14" spans="2:15" ht="20.5" thickBot="1" x14ac:dyDescent="0.45">
      <c r="D14" s="136" t="s">
        <v>62</v>
      </c>
      <c r="E14" s="136"/>
      <c r="F14" s="69"/>
      <c r="G14" s="73"/>
      <c r="H14" s="17" t="s">
        <v>64</v>
      </c>
      <c r="I14" s="68"/>
      <c r="J14" s="23"/>
      <c r="L14" s="45"/>
      <c r="M14" s="45"/>
      <c r="N14" s="45"/>
    </row>
    <row r="15" spans="2:15" ht="20" x14ac:dyDescent="0.4">
      <c r="B15" s="22"/>
      <c r="C15" s="22"/>
      <c r="D15" s="21"/>
      <c r="E15" s="21"/>
      <c r="H15" s="21"/>
    </row>
    <row r="16" spans="2:15" ht="20.5" thickBot="1" x14ac:dyDescent="0.45">
      <c r="C16" s="65"/>
      <c r="D16" s="65"/>
      <c r="E16" s="65"/>
      <c r="F16" s="65"/>
      <c r="H16" s="17" t="s">
        <v>65</v>
      </c>
      <c r="I16" s="68"/>
      <c r="J16" s="23"/>
      <c r="L16" s="45"/>
      <c r="M16" s="45"/>
      <c r="N16" s="45"/>
    </row>
    <row r="17" spans="2:15" ht="20" x14ac:dyDescent="0.25">
      <c r="C17" s="137" t="s">
        <v>14</v>
      </c>
      <c r="D17" s="137"/>
      <c r="E17" s="137"/>
      <c r="F17" s="137"/>
      <c r="G17" s="19"/>
      <c r="H17" s="19"/>
      <c r="I17" s="132"/>
      <c r="J17" s="132"/>
      <c r="K17" s="19"/>
      <c r="L17" s="122"/>
      <c r="M17" s="122"/>
      <c r="N17" s="122"/>
      <c r="O17" s="122"/>
    </row>
    <row r="18" spans="2:15" ht="6" customHeight="1" thickBot="1" x14ac:dyDescent="0.3">
      <c r="B18" s="61"/>
      <c r="C18" s="61"/>
      <c r="D18" s="61"/>
      <c r="E18" s="61"/>
      <c r="F18" s="62"/>
      <c r="G18" s="63"/>
      <c r="H18" s="63"/>
      <c r="I18" s="63"/>
      <c r="J18" s="62"/>
    </row>
    <row r="19" spans="2:15" ht="21.5" thickTop="1" thickBot="1" x14ac:dyDescent="0.3">
      <c r="B19" s="112" t="s">
        <v>50</v>
      </c>
      <c r="C19" s="112"/>
      <c r="D19" s="112"/>
      <c r="E19" s="112"/>
      <c r="F19" s="112"/>
      <c r="G19" s="112"/>
      <c r="H19" s="112"/>
      <c r="I19" s="112"/>
      <c r="J19" s="112"/>
    </row>
    <row r="20" spans="2:15" ht="18" thickBot="1" x14ac:dyDescent="0.4">
      <c r="B20" s="50" t="s">
        <v>26</v>
      </c>
      <c r="C20" s="8" t="s">
        <v>0</v>
      </c>
      <c r="D20" s="8" t="s">
        <v>1</v>
      </c>
      <c r="E20" s="8" t="s">
        <v>22</v>
      </c>
      <c r="F20" s="8" t="s">
        <v>27</v>
      </c>
      <c r="G20" s="133" t="s">
        <v>36</v>
      </c>
      <c r="H20" s="134"/>
      <c r="I20" s="135"/>
      <c r="J20" s="50" t="s">
        <v>28</v>
      </c>
    </row>
    <row r="21" spans="2:15" ht="40" customHeight="1" x14ac:dyDescent="0.5">
      <c r="B21" s="89"/>
      <c r="C21" s="101">
        <f>Control_1 Open_time</f>
        <v>45451.291666666664</v>
      </c>
      <c r="D21" s="101">
        <f>Control_1 Close_time</f>
        <v>45451.333333333328</v>
      </c>
      <c r="E21" s="90"/>
      <c r="F21" s="91" t="str">
        <f>IF(ISBLANK(Control_1 Establishment_1),"",Control_1 Establishment_1)</f>
        <v>Starbucks</v>
      </c>
      <c r="G21" s="126" t="str">
        <f>IF(ISBLANK('Control Entry'!I15),"",'Control Entry'!I15)</f>
        <v/>
      </c>
      <c r="H21" s="127"/>
      <c r="I21" s="128"/>
      <c r="J21" s="92"/>
    </row>
    <row r="22" spans="2:15" ht="40" customHeight="1" x14ac:dyDescent="0.5">
      <c r="B22" s="93">
        <f>IF(ISBLANK(Distance Control_1),"",Control_1 Distance)</f>
        <v>0</v>
      </c>
      <c r="C22" s="94">
        <f>Control_1 Open_time</f>
        <v>45451.291666666664</v>
      </c>
      <c r="D22" s="94">
        <f>Control_1 Close_time</f>
        <v>45451.333333333328</v>
      </c>
      <c r="E22" s="91" t="str">
        <f>IF(ISBLANK(Locale Control_1),"",Locale Control_1)</f>
        <v>Burnaby</v>
      </c>
      <c r="F22" s="91" t="str">
        <f>IF(ISBLANK(Control_1 Establishment_2),"",Control_1 Establishment_2)</f>
        <v>6568 Hastings St</v>
      </c>
      <c r="G22" s="129" t="str">
        <f>IF(ISBLANK('Control Entry'!J15),"",'Control Entry'!J15)</f>
        <v/>
      </c>
      <c r="H22" s="130"/>
      <c r="I22" s="131"/>
      <c r="J22" s="95"/>
    </row>
    <row r="23" spans="2:15" ht="40" customHeight="1" thickBot="1" x14ac:dyDescent="0.55000000000000004">
      <c r="B23" s="96"/>
      <c r="C23" s="102">
        <f>Control_1 Open_time</f>
        <v>45451.291666666664</v>
      </c>
      <c r="D23" s="102">
        <f>Control_1 Close_time</f>
        <v>45451.333333333328</v>
      </c>
      <c r="E23" s="97"/>
      <c r="F23" s="98" t="str">
        <f>IF(ISBLANK(Control_1 Establishment_3),"",Control_1 Establishment_3)</f>
        <v/>
      </c>
      <c r="G23" s="123" t="str">
        <f>IF(ISBLANK('Control Entry'!K15),"",'Control Entry'!K15)</f>
        <v/>
      </c>
      <c r="H23" s="124"/>
      <c r="I23" s="125"/>
      <c r="J23" s="99"/>
    </row>
    <row r="24" spans="2:15" ht="40" customHeight="1" x14ac:dyDescent="0.5">
      <c r="B24" s="89"/>
      <c r="C24" s="101">
        <f>Control_2 Open_time</f>
        <v>45451.397222222222</v>
      </c>
      <c r="D24" s="101">
        <f>Control_2 Close_time</f>
        <v>45451.530555555553</v>
      </c>
      <c r="E24" s="100"/>
      <c r="F24" s="91" t="str">
        <f>IF(ISBLANK(Control_2 Establishment_1),"",Control_2 Establishment_1)</f>
        <v>Straiton Road &amp;</v>
      </c>
      <c r="G24" s="126" t="str">
        <f>IF(ISBLANK('Control Entry'!I16),"",'Control Entry'!I16)</f>
        <v>Back of Stop Sign</v>
      </c>
      <c r="H24" s="127"/>
      <c r="I24" s="128"/>
      <c r="J24" s="92"/>
    </row>
    <row r="25" spans="2:15" ht="40" customHeight="1" x14ac:dyDescent="0.5">
      <c r="B25" s="93">
        <f>IF(ISBLANK(Distance Control_2),"",Control_2 Distance)</f>
        <v>86.1</v>
      </c>
      <c r="C25" s="94">
        <f>Control_2 Open_time</f>
        <v>45451.397222222222</v>
      </c>
      <c r="D25" s="94">
        <f>Control_2 Close_time</f>
        <v>45451.530555555553</v>
      </c>
      <c r="E25" s="91" t="str">
        <f>IF(ISBLANK(Locale Control_2),"",Locale Control_2)</f>
        <v>Abbotsford</v>
      </c>
      <c r="F25" s="91" t="str">
        <f>IF(ISBLANK(Control_2 Establishment_2),"",Control_2 Establishment_2)</f>
        <v>Sumas Mtn Road</v>
      </c>
      <c r="G25" s="129" t="str">
        <f>IF(ISBLANK('Control Entry'!J16),"",'Control Entry'!J16)</f>
        <v>Word on tag?</v>
      </c>
      <c r="H25" s="130"/>
      <c r="I25" s="131"/>
      <c r="J25" s="95"/>
    </row>
    <row r="26" spans="2:15" ht="40" customHeight="1" thickBot="1" x14ac:dyDescent="0.55000000000000004">
      <c r="B26" s="96"/>
      <c r="C26" s="102">
        <f>Control_2 Open_time</f>
        <v>45451.397222222222</v>
      </c>
      <c r="D26" s="102">
        <f>Control_2 Close_time</f>
        <v>45451.530555555553</v>
      </c>
      <c r="E26" s="97"/>
      <c r="F26" s="98" t="str">
        <f>IF(ISBLANK(Control_2 Establishment_3),"",Control_2 Establishment_3)</f>
        <v/>
      </c>
      <c r="G26" s="123" t="str">
        <f>IF(ISBLANK('Control Entry'!K16),"",'Control Entry'!K16)</f>
        <v/>
      </c>
      <c r="H26" s="124"/>
      <c r="I26" s="125"/>
      <c r="J26" s="99"/>
    </row>
    <row r="27" spans="2:15" ht="40" customHeight="1" x14ac:dyDescent="0.5">
      <c r="B27" s="89"/>
      <c r="C27" s="101">
        <f>Control_3 Open_time</f>
        <v>45451.409722222219</v>
      </c>
      <c r="D27" s="101">
        <f>Control_3 Close_time</f>
        <v>45451.55972222222</v>
      </c>
      <c r="E27" s="100"/>
      <c r="F27" s="91" t="str">
        <f>IF(ISBLANK(Control_3 Establishment_1),"",Control_3 Establishment_1)</f>
        <v>Birchwood Dairy</v>
      </c>
      <c r="G27" s="126" t="str">
        <f>IF(ISBLANK('Control Entry'!I17),"",'Control Entry'!I17)</f>
        <v>Yellow posted speed sign</v>
      </c>
      <c r="H27" s="127"/>
      <c r="I27" s="128"/>
      <c r="J27" s="92"/>
    </row>
    <row r="28" spans="2:15" ht="40" customHeight="1" x14ac:dyDescent="0.5">
      <c r="B28" s="93">
        <f>IF(ISBLANK(Distance Control_3),"",Control_3 Distance)</f>
        <v>96.4</v>
      </c>
      <c r="C28" s="94">
        <f>Control_3 Open_time</f>
        <v>45451.409722222219</v>
      </c>
      <c r="D28" s="94">
        <f>Control_3 Close_time</f>
        <v>45451.55972222222</v>
      </c>
      <c r="E28" s="91" t="str">
        <f>IF(ISBLANK(Locale Control_3),"",Locale Control_3)</f>
        <v>Abbotsford</v>
      </c>
      <c r="F28" s="91" t="str">
        <f>IF(ISBLANK(Control_3 Establishment_2),"",Control_3 Establishment_2)</f>
        <v/>
      </c>
      <c r="G28" s="129" t="str">
        <f>IF(ISBLANK('Control Entry'!J17),"",'Control Entry'!J17)</f>
        <v>Speed limit (mph)?</v>
      </c>
      <c r="H28" s="130"/>
      <c r="I28" s="131"/>
      <c r="J28" s="95"/>
    </row>
    <row r="29" spans="2:15" ht="40" customHeight="1" thickBot="1" x14ac:dyDescent="0.55000000000000004">
      <c r="B29" s="96"/>
      <c r="C29" s="102">
        <f>Control_3 Open_time</f>
        <v>45451.409722222219</v>
      </c>
      <c r="D29" s="102">
        <f>Control_3 Close_time</f>
        <v>45451.55972222222</v>
      </c>
      <c r="E29" s="97"/>
      <c r="F29" s="98" t="str">
        <f>IF(ISBLANK(Control_3 Establishment_3),"",Control_3 Establishment_3)</f>
        <v/>
      </c>
      <c r="G29" s="123" t="str">
        <f>IF(ISBLANK('Control Entry'!K17),"",'Control Entry'!K17)</f>
        <v/>
      </c>
      <c r="H29" s="124"/>
      <c r="I29" s="125"/>
      <c r="J29" s="99"/>
    </row>
    <row r="30" spans="2:15" ht="40" customHeight="1" x14ac:dyDescent="0.5">
      <c r="B30" s="89"/>
      <c r="C30" s="101">
        <f>Control_4 Open_time</f>
        <v>45451.417361111111</v>
      </c>
      <c r="D30" s="101">
        <f>Control_4 Close_time</f>
        <v>45451.576388888883</v>
      </c>
      <c r="E30" s="100"/>
      <c r="F30" s="91" t="str">
        <f>IF(ISBLANK(Control_4 Establishment_1),"",Control_4 Establishment_1)</f>
        <v>2nd Ave &amp;</v>
      </c>
      <c r="G30" s="126" t="str">
        <f>IF(ISBLANK('Control Entry'!I18),"",'Control Entry'!I18)</f>
        <v>Back of Stop Sign</v>
      </c>
      <c r="H30" s="127"/>
      <c r="I30" s="128"/>
      <c r="J30" s="92"/>
    </row>
    <row r="31" spans="2:15" ht="40" customHeight="1" x14ac:dyDescent="0.5">
      <c r="B31" s="93">
        <f>IF(ISBLANK(Distance Control_4),"",Control_4 Distance)</f>
        <v>102.6</v>
      </c>
      <c r="C31" s="94">
        <f>Control_4 Open_time</f>
        <v>45451.417361111111</v>
      </c>
      <c r="D31" s="94">
        <f>Control_4 Close_time</f>
        <v>45451.576388888883</v>
      </c>
      <c r="E31" s="91" t="str">
        <f>IF(ISBLANK(Locale Control_4),"",Locale Control_4)</f>
        <v>Abbotsford</v>
      </c>
      <c r="F31" s="91" t="str">
        <f>IF(ISBLANK(Control_4 Establishment_2),"",Control_4 Establishment_2)</f>
        <v>B St</v>
      </c>
      <c r="G31" s="129" t="str">
        <f>IF(ISBLANK('Control Entry'!J18),"",'Control Entry'!J18)</f>
        <v>Word on tag?</v>
      </c>
      <c r="H31" s="130"/>
      <c r="I31" s="131"/>
      <c r="J31" s="95"/>
    </row>
    <row r="32" spans="2:15" ht="40" customHeight="1" thickBot="1" x14ac:dyDescent="0.55000000000000004">
      <c r="B32" s="96"/>
      <c r="C32" s="102">
        <f>Control_4 Open_time</f>
        <v>45451.417361111111</v>
      </c>
      <c r="D32" s="102">
        <f>Control_4 Close_time</f>
        <v>45451.576388888883</v>
      </c>
      <c r="E32" s="97"/>
      <c r="F32" s="98" t="str">
        <f>IF(ISBLANK(Control_4 Establishment_3),"",Control_4 Establishment_3)</f>
        <v/>
      </c>
      <c r="G32" s="123" t="str">
        <f>IF(ISBLANK('Control Entry'!K18),"",'Control Entry'!K18)</f>
        <v/>
      </c>
      <c r="H32" s="124"/>
      <c r="I32" s="125"/>
      <c r="J32" s="99"/>
    </row>
    <row r="33" spans="2:10" ht="40" customHeight="1" x14ac:dyDescent="0.5">
      <c r="B33" s="89"/>
      <c r="C33" s="101">
        <f>Control_5 Open_time</f>
        <v>45451.482638888883</v>
      </c>
      <c r="D33" s="101">
        <f>Control_5 Close_time</f>
        <v>45451.724999999999</v>
      </c>
      <c r="E33" s="100"/>
      <c r="F33" s="91" t="str">
        <f>IF(ISBLANK(Control_5 Establishment_1),"",Control_5 Establishment_1)</f>
        <v>Allard Crescent &amp;</v>
      </c>
      <c r="G33" s="126" t="str">
        <f>IF(ISBLANK('Control Entry'!I19),"",'Control Entry'!I19)</f>
        <v>Back of Stop Sign</v>
      </c>
      <c r="H33" s="127"/>
      <c r="I33" s="128"/>
      <c r="J33" s="92"/>
    </row>
    <row r="34" spans="2:10" ht="40" customHeight="1" x14ac:dyDescent="0.5">
      <c r="B34" s="93">
        <f>IF(ISBLANK(Distance Control_5),"",Control_5 Distance)</f>
        <v>155.9</v>
      </c>
      <c r="C34" s="94">
        <f>Control_5 Open_time</f>
        <v>45451.482638888883</v>
      </c>
      <c r="D34" s="94">
        <f>Control_5 Close_time</f>
        <v>45451.724999999999</v>
      </c>
      <c r="E34" s="91" t="str">
        <f>IF(ISBLANK(Locale Control_5),"",Locale Control_5)</f>
        <v>Langley</v>
      </c>
      <c r="F34" s="91" t="str">
        <f>IF(ISBLANK(Control_5 Establishment_2),"",Control_5 Establishment_2)</f>
        <v>208 St</v>
      </c>
      <c r="G34" s="129" t="str">
        <f>IF(ISBLANK('Control Entry'!J19),"",'Control Entry'!J19)</f>
        <v>Township of Langley Sticker</v>
      </c>
      <c r="H34" s="130"/>
      <c r="I34" s="131"/>
      <c r="J34" s="95"/>
    </row>
    <row r="35" spans="2:10" ht="40" customHeight="1" thickBot="1" x14ac:dyDescent="0.55000000000000004">
      <c r="B35" s="96"/>
      <c r="C35" s="102">
        <f>Control_5 Open_time</f>
        <v>45451.482638888883</v>
      </c>
      <c r="D35" s="102">
        <f>Control_5 Close_time</f>
        <v>45451.724999999999</v>
      </c>
      <c r="E35" s="97"/>
      <c r="F35" s="98" t="str">
        <f>IF(ISBLANK(Control_5 Establishment_3),"",Control_5 Establishment_3)</f>
        <v/>
      </c>
      <c r="G35" s="123" t="str">
        <f>IF(ISBLANK('Control Entry'!K19),"",'Control Entry'!K19)</f>
        <v>6 digit number?</v>
      </c>
      <c r="H35" s="124"/>
      <c r="I35" s="125"/>
      <c r="J35" s="99"/>
    </row>
    <row r="36" spans="2:10" ht="40" customHeight="1" x14ac:dyDescent="0.5">
      <c r="B36" s="89"/>
      <c r="C36" s="101">
        <f>Control_6 Open_time</f>
        <v>45451.517361111109</v>
      </c>
      <c r="D36" s="101">
        <f>Control_6 Close_time</f>
        <v>45451.804166666661</v>
      </c>
      <c r="E36" s="100"/>
      <c r="F36" s="91" t="str">
        <f>IF(ISBLANK(Control_6 Establishment_1),"",Control_6 Establishment_1)</f>
        <v>Bert Flinn Park</v>
      </c>
      <c r="G36" s="126" t="str">
        <f>IF(ISBLANK('Control Entry'!I20),"",'Control Entry'!I20)</f>
        <v>Cross Walk Sign</v>
      </c>
      <c r="H36" s="127"/>
      <c r="I36" s="128"/>
      <c r="J36" s="92"/>
    </row>
    <row r="37" spans="2:10" ht="40" customHeight="1" x14ac:dyDescent="0.5">
      <c r="B37" s="93">
        <f>IF(ISBLANK(Distance Control_6),"",Control_6 Distance)</f>
        <v>184.4</v>
      </c>
      <c r="C37" s="94">
        <f>Control_6 Open_time</f>
        <v>45451.517361111109</v>
      </c>
      <c r="D37" s="94">
        <f>Control_6 Close_time</f>
        <v>45451.804166666661</v>
      </c>
      <c r="E37" s="91" t="str">
        <f>IF(ISBLANK(Locale Control_6),"",Locale Control_6)</f>
        <v>Coquitlam</v>
      </c>
      <c r="F37" s="91" t="str">
        <f>IF(ISBLANK(Control_6 Establishment_2),"",Control_6 Establishment_2)</f>
        <v>David Ave &amp;</v>
      </c>
      <c r="G37" s="129" t="str">
        <f>IF(ISBLANK('Control Entry'!J20),"",'Control Entry'!J20)</f>
        <v>Color of zip tie on pole?</v>
      </c>
      <c r="H37" s="130"/>
      <c r="I37" s="131"/>
      <c r="J37" s="95"/>
    </row>
    <row r="38" spans="2:10" ht="40" customHeight="1" thickBot="1" x14ac:dyDescent="0.55000000000000004">
      <c r="B38" s="96"/>
      <c r="C38" s="102">
        <f>Control_6 Open_time</f>
        <v>45451.517361111109</v>
      </c>
      <c r="D38" s="102">
        <f>Control_6 Close_time</f>
        <v>45451.804166666661</v>
      </c>
      <c r="E38" s="97"/>
      <c r="F38" s="98" t="str">
        <f>IF(ISBLANK(Control_6 Establishment_3),"",Control_6 Establishment_3)</f>
        <v>Heritage Mountain Blvd</v>
      </c>
      <c r="G38" s="123" t="str">
        <f>IF(ISBLANK('Control Entry'!K20),"",'Control Entry'!K20)</f>
        <v/>
      </c>
      <c r="H38" s="124"/>
      <c r="I38" s="125"/>
      <c r="J38" s="99"/>
    </row>
    <row r="39" spans="2:10" ht="40" customHeight="1" x14ac:dyDescent="0.5">
      <c r="B39" s="89"/>
      <c r="C39" s="101">
        <f>Control_7 Open_time</f>
        <v>45451.538888888885</v>
      </c>
      <c r="D39" s="101">
        <f>Control_7 Close_time</f>
        <v>45451.854166666664</v>
      </c>
      <c r="E39" s="100"/>
      <c r="F39" s="91" t="str">
        <f>IF(ISBLANK(Control_7 Establishment_1),"",Control_7 Establishment_1)</f>
        <v>Hop &amp; Vine</v>
      </c>
      <c r="G39" s="126" t="str">
        <f>IF(ISBLANK('Control Entry'!I21),"",'Control Entry'!I21)</f>
        <v>Hop &amp; Vine Sign Above Entrance</v>
      </c>
      <c r="H39" s="127"/>
      <c r="I39" s="128"/>
      <c r="J39" s="92"/>
    </row>
    <row r="40" spans="2:10" ht="40" customHeight="1" x14ac:dyDescent="0.5">
      <c r="B40" s="93">
        <f>IF(ISBLANK(Distance Control_7),"",Control_7 Distance)</f>
        <v>201.4</v>
      </c>
      <c r="C40" s="94">
        <f>Control_7 Open_time</f>
        <v>45451.538888888885</v>
      </c>
      <c r="D40" s="94">
        <f>Control_7 Close_time</f>
        <v>45451.854166666664</v>
      </c>
      <c r="E40" s="91" t="str">
        <f>IF(ISBLANK(Locale Control_7),"",Locale Control_7)</f>
        <v>Burnaby</v>
      </c>
      <c r="F40" s="91" t="str">
        <f>IF(ISBLANK(Control_7 Establishment_2),"",Control_7 Establishment_2)</f>
        <v>Taphouse</v>
      </c>
      <c r="G40" s="129" t="str">
        <f>IF(ISBLANK('Control Entry'!J21),"",'Control Entry'!J21)</f>
        <v>What letter is missing?</v>
      </c>
      <c r="H40" s="130"/>
      <c r="I40" s="131"/>
      <c r="J40" s="95"/>
    </row>
    <row r="41" spans="2:10" ht="40" customHeight="1" thickBot="1" x14ac:dyDescent="0.55000000000000004">
      <c r="B41" s="96"/>
      <c r="C41" s="102">
        <f>Control_7 Open_time</f>
        <v>45451.538888888885</v>
      </c>
      <c r="D41" s="102">
        <f>Control_7 Close_time</f>
        <v>45451.854166666664</v>
      </c>
      <c r="E41" s="97"/>
      <c r="F41" s="98" t="str">
        <f>IF(ISBLANK(Control_7 Establishment_3),"",Control_7 Establishment_3)</f>
        <v/>
      </c>
      <c r="G41" s="123" t="str">
        <f>IF(ISBLANK('Control Entry'!K21),"",'Control Entry'!K21)</f>
        <v/>
      </c>
      <c r="H41" s="124"/>
      <c r="I41" s="125"/>
      <c r="J41" s="99"/>
    </row>
    <row r="42" spans="2:10" ht="40" customHeight="1" x14ac:dyDescent="0.5">
      <c r="B42" s="89"/>
      <c r="C42" s="101" t="str">
        <f>Control_8 Open_time</f>
        <v/>
      </c>
      <c r="D42" s="101" t="str">
        <f>Control_8 Close_time</f>
        <v/>
      </c>
      <c r="E42" s="100"/>
      <c r="F42" s="91" t="str">
        <f>IF(ISBLANK(Control_8 Establishment_1),"",Control_8 Establishment_1)</f>
        <v/>
      </c>
      <c r="G42" s="126" t="str">
        <f>IF(ISBLANK('Control Entry'!I22),"",'Control Entry'!I22)</f>
        <v/>
      </c>
      <c r="H42" s="127"/>
      <c r="I42" s="128"/>
      <c r="J42" s="92"/>
    </row>
    <row r="43" spans="2:10" ht="40" customHeight="1" x14ac:dyDescent="0.5">
      <c r="B43" s="93" t="str">
        <f>IF(ISBLANK(Distance Control_8),"",Control_8 Distance)</f>
        <v/>
      </c>
      <c r="C43" s="94" t="str">
        <f>Control_8 Open_time</f>
        <v/>
      </c>
      <c r="D43" s="94" t="str">
        <f>Control_8 Close_time</f>
        <v/>
      </c>
      <c r="E43" s="91" t="str">
        <f>IF(ISBLANK(Locale Control_8),"",Locale Control_8)</f>
        <v/>
      </c>
      <c r="F43" s="91" t="str">
        <f>IF(ISBLANK(Control_8 Establishment_2),"",Control_8 Establishment_2)</f>
        <v/>
      </c>
      <c r="G43" s="129" t="str">
        <f>IF(ISBLANK('Control Entry'!J22),"",'Control Entry'!J22)</f>
        <v/>
      </c>
      <c r="H43" s="130"/>
      <c r="I43" s="131"/>
      <c r="J43" s="95"/>
    </row>
    <row r="44" spans="2:10" ht="40" customHeight="1" thickBot="1" x14ac:dyDescent="0.55000000000000004">
      <c r="B44" s="96"/>
      <c r="C44" s="102" t="str">
        <f>Control_8 Open_time</f>
        <v/>
      </c>
      <c r="D44" s="102" t="str">
        <f>Control_8 Close_time</f>
        <v/>
      </c>
      <c r="E44" s="97"/>
      <c r="F44" s="98" t="str">
        <f>IF(ISBLANK(Control_8 Establishment_3),"",Control_8 Establishment_3)</f>
        <v/>
      </c>
      <c r="G44" s="123" t="str">
        <f>IF(ISBLANK('Control Entry'!K22),"",'Control Entry'!K22)</f>
        <v/>
      </c>
      <c r="H44" s="124"/>
      <c r="I44" s="125"/>
      <c r="J44" s="99"/>
    </row>
    <row r="45" spans="2:10" ht="40" customHeight="1" x14ac:dyDescent="0.5">
      <c r="B45" s="89"/>
      <c r="C45" s="101" t="str">
        <f>Control_9 Open_time</f>
        <v/>
      </c>
      <c r="D45" s="101" t="str">
        <f>Control_9 Close_time</f>
        <v/>
      </c>
      <c r="E45" s="100"/>
      <c r="F45" s="91" t="str">
        <f>IF(ISBLANK(Control_9 Establishment_1),"",Control_9 Establishment_1)</f>
        <v/>
      </c>
      <c r="G45" s="126" t="str">
        <f>IF(ISBLANK('Control Entry'!I23),"",'Control Entry'!I23)</f>
        <v/>
      </c>
      <c r="H45" s="127"/>
      <c r="I45" s="128"/>
      <c r="J45" s="92"/>
    </row>
    <row r="46" spans="2:10" ht="40" customHeight="1" x14ac:dyDescent="0.5">
      <c r="B46" s="93" t="str">
        <f>IF(ISBLANK(Distance Control_9),"",Control_9 Distance)</f>
        <v/>
      </c>
      <c r="C46" s="94" t="str">
        <f>Control_9 Open_time</f>
        <v/>
      </c>
      <c r="D46" s="94" t="str">
        <f>Control_9 Close_time</f>
        <v/>
      </c>
      <c r="E46" s="91" t="str">
        <f>IF(ISBLANK(Locale Control_9),"",Locale Control_9)</f>
        <v/>
      </c>
      <c r="F46" s="91" t="str">
        <f>IF(ISBLANK(Control_9 Establishment_2),"",Control_9 Establishment_2)</f>
        <v/>
      </c>
      <c r="G46" s="129" t="str">
        <f>IF(ISBLANK('Control Entry'!J23),"",'Control Entry'!J23)</f>
        <v/>
      </c>
      <c r="H46" s="130"/>
      <c r="I46" s="131"/>
      <c r="J46" s="95"/>
    </row>
    <row r="47" spans="2:10" ht="40" customHeight="1" thickBot="1" x14ac:dyDescent="0.55000000000000004">
      <c r="B47" s="96"/>
      <c r="C47" s="102" t="str">
        <f>Control_9 Open_time</f>
        <v/>
      </c>
      <c r="D47" s="102" t="str">
        <f>Control_9 Close_time</f>
        <v/>
      </c>
      <c r="E47" s="97"/>
      <c r="F47" s="98" t="str">
        <f>IF(ISBLANK(Control_9 Establishment_3),"",Control_9 Establishment_3)</f>
        <v/>
      </c>
      <c r="G47" s="123" t="str">
        <f>IF(ISBLANK('Control Entry'!K23),"",'Control Entry'!K23)</f>
        <v/>
      </c>
      <c r="H47" s="124"/>
      <c r="I47" s="125"/>
      <c r="J47" s="99"/>
    </row>
    <row r="48" spans="2:10" ht="40" customHeight="1" x14ac:dyDescent="0.5">
      <c r="B48" s="89"/>
      <c r="C48" s="101" t="str">
        <f>Control_10 Open_time</f>
        <v/>
      </c>
      <c r="D48" s="101" t="str">
        <f>Control_10 Close_time</f>
        <v/>
      </c>
      <c r="E48" s="100"/>
      <c r="F48" s="91" t="str">
        <f>IF(ISBLANK(Control_10 Establishment_1),"",Control_10 Establishment_1)</f>
        <v/>
      </c>
      <c r="G48" s="126" t="str">
        <f>IF(ISBLANK('Control Entry'!I24),"",'Control Entry'!I24)</f>
        <v/>
      </c>
      <c r="H48" s="127"/>
      <c r="I48" s="128"/>
      <c r="J48" s="92"/>
    </row>
    <row r="49" spans="2:11" ht="40" customHeight="1" x14ac:dyDescent="0.5">
      <c r="B49" s="93" t="str">
        <f>IF(ISBLANK(Distance Control_10),"",Control_10 Distance)</f>
        <v/>
      </c>
      <c r="C49" s="94" t="str">
        <f>Control_10 Open_time</f>
        <v/>
      </c>
      <c r="D49" s="94" t="str">
        <f>Control_10 Close_time</f>
        <v/>
      </c>
      <c r="E49" s="91" t="str">
        <f>IF(ISBLANK(Locale Control_10),"",Locale Control_10)</f>
        <v/>
      </c>
      <c r="F49" s="91" t="str">
        <f>IF(ISBLANK(Control_10 Establishment_2),"",Control_10 Establishment_2)</f>
        <v/>
      </c>
      <c r="G49" s="129" t="str">
        <f>IF(ISBLANK('Control Entry'!J24),"",'Control Entry'!J24)</f>
        <v/>
      </c>
      <c r="H49" s="130"/>
      <c r="I49" s="131"/>
      <c r="J49" s="95"/>
    </row>
    <row r="50" spans="2:11" ht="40" customHeight="1" thickBot="1" x14ac:dyDescent="0.55000000000000004">
      <c r="B50" s="96"/>
      <c r="C50" s="102" t="str">
        <f>Control_10 Open_time</f>
        <v/>
      </c>
      <c r="D50" s="102" t="str">
        <f>Control_10 Close_time</f>
        <v/>
      </c>
      <c r="E50" s="97"/>
      <c r="F50" s="98" t="str">
        <f>IF(ISBLANK(Control_10 Establishment_3),"",Control_10 Establishment_3)</f>
        <v/>
      </c>
      <c r="G50" s="123" t="str">
        <f>IF(ISBLANK('Control Entry'!K24),"",'Control Entry'!K24)</f>
        <v/>
      </c>
      <c r="H50" s="124"/>
      <c r="I50" s="125"/>
      <c r="J50" s="99"/>
    </row>
    <row r="52" spans="2:11" ht="24" customHeight="1" x14ac:dyDescent="0.25">
      <c r="B52" s="140" t="s">
        <v>30</v>
      </c>
      <c r="C52" s="140"/>
      <c r="D52" s="140"/>
      <c r="E52" s="140"/>
      <c r="F52" s="140"/>
      <c r="I52" s="58" t="s">
        <v>56</v>
      </c>
      <c r="J52" s="81" t="str">
        <f>IF(ISBLANK('Control Entry'!F10),"",'Control Entry'!F10)</f>
        <v/>
      </c>
      <c r="K52" s="54"/>
    </row>
    <row r="54" spans="2:11" x14ac:dyDescent="0.25">
      <c r="B54" s="76" t="s">
        <v>59</v>
      </c>
      <c r="C54" s="77">
        <f>'Control Entry'!B3</f>
        <v>45428</v>
      </c>
    </row>
    <row r="55" spans="2:11" ht="22.5" x14ac:dyDescent="0.25">
      <c r="B55" s="58"/>
      <c r="C55" s="58"/>
      <c r="D55" s="58"/>
      <c r="E55" s="58"/>
      <c r="F55" s="54"/>
      <c r="G55" s="60"/>
      <c r="H55" s="60"/>
      <c r="I55" s="60"/>
      <c r="J55" s="54"/>
    </row>
    <row r="56" spans="2:11" x14ac:dyDescent="0.25">
      <c r="E56" s="1"/>
    </row>
    <row r="57" spans="2:11" x14ac:dyDescent="0.25">
      <c r="B57" s="56"/>
      <c r="C57" s="57"/>
      <c r="D57" s="57"/>
      <c r="E57" s="57"/>
      <c r="F57" s="138"/>
      <c r="G57" s="139"/>
      <c r="H57" s="139"/>
      <c r="I57" s="139"/>
      <c r="J57" s="139"/>
    </row>
  </sheetData>
  <mergeCells count="50">
    <mergeCell ref="N17:O17"/>
    <mergeCell ref="F57:J57"/>
    <mergeCell ref="G48:I48"/>
    <mergeCell ref="G49:I49"/>
    <mergeCell ref="G50:I50"/>
    <mergeCell ref="G21:I21"/>
    <mergeCell ref="G22:I22"/>
    <mergeCell ref="G23:I23"/>
    <mergeCell ref="G24:I24"/>
    <mergeCell ref="G25:I25"/>
    <mergeCell ref="G29:I29"/>
    <mergeCell ref="G30:I30"/>
    <mergeCell ref="G31:I31"/>
    <mergeCell ref="B52:F52"/>
    <mergeCell ref="G45:I45"/>
    <mergeCell ref="G46:I46"/>
    <mergeCell ref="G47:I47"/>
    <mergeCell ref="G20:I20"/>
    <mergeCell ref="D12:E12"/>
    <mergeCell ref="D14:E14"/>
    <mergeCell ref="G27:I27"/>
    <mergeCell ref="G28:I28"/>
    <mergeCell ref="G26:I26"/>
    <mergeCell ref="C17:F17"/>
    <mergeCell ref="G37:I37"/>
    <mergeCell ref="L10:M10"/>
    <mergeCell ref="N10:O10"/>
    <mergeCell ref="G44:I44"/>
    <mergeCell ref="G38:I38"/>
    <mergeCell ref="G39:I39"/>
    <mergeCell ref="G40:I40"/>
    <mergeCell ref="G41:I41"/>
    <mergeCell ref="G42:I42"/>
    <mergeCell ref="G43:I43"/>
    <mergeCell ref="G32:I32"/>
    <mergeCell ref="G33:I33"/>
    <mergeCell ref="G34:I34"/>
    <mergeCell ref="G35:I35"/>
    <mergeCell ref="G36:I36"/>
    <mergeCell ref="I17:J17"/>
    <mergeCell ref="L17:M17"/>
    <mergeCell ref="C2:F2"/>
    <mergeCell ref="B19:J19"/>
    <mergeCell ref="B10:C10"/>
    <mergeCell ref="E10:G10"/>
    <mergeCell ref="C7:F8"/>
    <mergeCell ref="H7:H8"/>
    <mergeCell ref="E5:H6"/>
    <mergeCell ref="E3:H3"/>
    <mergeCell ref="E4:H4"/>
  </mergeCells>
  <printOptions horizontalCentered="1" verticalCentered="1"/>
  <pageMargins left="0.39370078740157483" right="0.39370078740157483" top="0.39370078740157483" bottom="0.39370078740157483" header="0.15748031496062992" footer="0.15748031496062992"/>
  <pageSetup scale="37" orientation="portrait" horizontalDpi="0" verticalDpi="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DE900F-F270-644D-8463-167507B73A41}">
  <sheetPr>
    <pageSetUpPr fitToPage="1"/>
  </sheetPr>
  <dimension ref="B1:O57"/>
  <sheetViews>
    <sheetView zoomScale="70" zoomScaleNormal="70" zoomScalePageLayoutView="75" workbookViewId="0">
      <selection activeCell="B20" sqref="B20"/>
    </sheetView>
  </sheetViews>
  <sheetFormatPr defaultColWidth="8.81640625" defaultRowHeight="12.5" x14ac:dyDescent="0.25"/>
  <cols>
    <col min="1" max="1" width="1.81640625" customWidth="1"/>
    <col min="2" max="2" width="12.81640625" customWidth="1"/>
    <col min="3" max="4" width="15.81640625" customWidth="1"/>
    <col min="5" max="5" width="25.81640625" customWidth="1"/>
    <col min="6" max="6" width="40.81640625" customWidth="1"/>
    <col min="7" max="7" width="12.81640625" customWidth="1"/>
    <col min="8" max="8" width="25.81640625" customWidth="1"/>
    <col min="9" max="9" width="30.81640625" customWidth="1"/>
    <col min="10" max="10" width="25.81640625" customWidth="1"/>
    <col min="11" max="11" width="1.81640625" customWidth="1"/>
    <col min="12" max="12" width="8.81640625" customWidth="1"/>
  </cols>
  <sheetData>
    <row r="1" spans="2:15" x14ac:dyDescent="0.25">
      <c r="K1" s="75"/>
      <c r="L1" s="75"/>
      <c r="M1" s="75"/>
    </row>
    <row r="2" spans="2:15" ht="17.5" x14ac:dyDescent="0.35">
      <c r="C2" s="111" t="s">
        <v>33</v>
      </c>
      <c r="D2" s="111"/>
      <c r="E2" s="111"/>
      <c r="F2" s="111"/>
      <c r="G2" s="55"/>
      <c r="H2" s="55"/>
      <c r="I2" s="78" t="s">
        <v>58</v>
      </c>
      <c r="J2" s="79">
        <f>'Control Entry'!B4</f>
        <v>45444</v>
      </c>
      <c r="K2" s="55"/>
      <c r="L2" s="55"/>
    </row>
    <row r="3" spans="2:15" ht="45" customHeight="1" x14ac:dyDescent="0.85">
      <c r="D3" s="12"/>
      <c r="E3" s="120" t="s">
        <v>29</v>
      </c>
      <c r="F3" s="120"/>
      <c r="G3" s="120"/>
      <c r="H3" s="120"/>
      <c r="I3" s="66" t="s">
        <v>60</v>
      </c>
      <c r="J3" s="71">
        <f>IF(ISBLANK(Brevet_Number),"",Brevet_Number)</f>
        <v>5358</v>
      </c>
      <c r="K3" s="39"/>
      <c r="L3" s="39"/>
    </row>
    <row r="4" spans="2:15" ht="20" customHeight="1" x14ac:dyDescent="0.25">
      <c r="C4" s="12"/>
      <c r="E4" s="121" t="str">
        <f>IF(ISBLANK(Brevet_Length),"",Brevet_Length&amp;" km Randonnée")</f>
        <v>200 km Randonnée</v>
      </c>
      <c r="F4" s="121"/>
      <c r="G4" s="121"/>
      <c r="H4" s="121"/>
      <c r="K4" s="51"/>
      <c r="L4" s="51"/>
    </row>
    <row r="5" spans="2:15" ht="20" customHeight="1" x14ac:dyDescent="0.4">
      <c r="D5" s="52"/>
      <c r="E5" s="119" t="str">
        <f>IF(ISBLANK(Brevet_Description),"",Brevet_Description)</f>
        <v>LM June 200</v>
      </c>
      <c r="F5" s="119"/>
      <c r="G5" s="119"/>
      <c r="H5" s="119"/>
      <c r="I5" s="74"/>
      <c r="J5" s="52"/>
      <c r="K5" s="52"/>
      <c r="L5" s="52"/>
    </row>
    <row r="6" spans="2:15" ht="20" x14ac:dyDescent="0.4">
      <c r="D6" s="67"/>
      <c r="E6" s="119"/>
      <c r="F6" s="119"/>
      <c r="G6" s="119"/>
      <c r="H6" s="119"/>
      <c r="I6" s="74"/>
      <c r="J6" s="67"/>
      <c r="K6" s="52"/>
      <c r="L6" s="52"/>
    </row>
    <row r="7" spans="2:15" ht="25" customHeight="1" x14ac:dyDescent="0.25">
      <c r="C7" s="115"/>
      <c r="D7" s="115"/>
      <c r="E7" s="115"/>
      <c r="F7" s="115"/>
      <c r="H7" s="117"/>
    </row>
    <row r="8" spans="2:15" ht="20.5" thickBot="1" x14ac:dyDescent="0.45">
      <c r="B8" s="17" t="s">
        <v>61</v>
      </c>
      <c r="C8" s="116"/>
      <c r="D8" s="116"/>
      <c r="E8" s="116"/>
      <c r="F8" s="116"/>
      <c r="G8" s="17" t="s">
        <v>31</v>
      </c>
      <c r="H8" s="118"/>
      <c r="I8" s="53"/>
      <c r="J8" s="53"/>
      <c r="K8" s="53"/>
    </row>
    <row r="9" spans="2:15" ht="22" customHeight="1" x14ac:dyDescent="0.25">
      <c r="B9" s="58"/>
      <c r="C9" s="58"/>
      <c r="D9" s="58"/>
      <c r="E9" s="58"/>
      <c r="F9" s="54"/>
      <c r="G9" s="60"/>
      <c r="H9" s="60"/>
      <c r="I9" s="60"/>
      <c r="J9" s="54"/>
    </row>
    <row r="10" spans="2:15" ht="20" customHeight="1" x14ac:dyDescent="0.25">
      <c r="B10" s="113" t="s">
        <v>34</v>
      </c>
      <c r="C10" s="113"/>
      <c r="D10" s="64" t="s">
        <v>35</v>
      </c>
      <c r="E10" s="114" t="s">
        <v>57</v>
      </c>
      <c r="F10" s="114"/>
      <c r="G10" s="114"/>
      <c r="H10" s="70"/>
      <c r="I10" s="59"/>
      <c r="J10" s="59"/>
      <c r="K10" s="19"/>
      <c r="L10" s="122"/>
      <c r="M10" s="122"/>
      <c r="N10" s="122"/>
      <c r="O10" s="122"/>
    </row>
    <row r="11" spans="2:15" ht="22.5" x14ac:dyDescent="0.25">
      <c r="B11" s="58"/>
      <c r="C11" s="58" t="s">
        <v>73</v>
      </c>
      <c r="D11" s="58"/>
      <c r="E11" s="58"/>
      <c r="F11" s="54"/>
      <c r="G11" s="60"/>
      <c r="H11" s="60"/>
      <c r="I11" s="60"/>
      <c r="J11" s="54"/>
    </row>
    <row r="12" spans="2:15" ht="20.5" thickBot="1" x14ac:dyDescent="0.45">
      <c r="D12" s="136" t="s">
        <v>19</v>
      </c>
      <c r="E12" s="136"/>
      <c r="F12" s="69">
        <f>IF(ISBLANK('Control Entry'!B12),"",'Control Entry'!B12)</f>
        <v>45451</v>
      </c>
      <c r="G12" s="73"/>
      <c r="H12" s="17" t="s">
        <v>63</v>
      </c>
      <c r="I12" s="68">
        <f>IF(ISBLANK('Control Entry'!B13),"",'Control Entry'!B13)</f>
        <v>0.29166666666666669</v>
      </c>
      <c r="J12" s="23"/>
    </row>
    <row r="13" spans="2:15" ht="20" x14ac:dyDescent="0.4">
      <c r="D13" s="22"/>
      <c r="E13" s="22"/>
      <c r="F13" s="21"/>
      <c r="G13" s="21"/>
      <c r="H13" s="21"/>
      <c r="L13" s="23"/>
      <c r="M13" s="23"/>
      <c r="N13" s="23"/>
    </row>
    <row r="14" spans="2:15" ht="20.5" thickBot="1" x14ac:dyDescent="0.45">
      <c r="D14" s="136" t="s">
        <v>62</v>
      </c>
      <c r="E14" s="136"/>
      <c r="F14" s="69"/>
      <c r="G14" s="73"/>
      <c r="H14" s="17" t="s">
        <v>64</v>
      </c>
      <c r="I14" s="68"/>
      <c r="J14" s="23"/>
      <c r="L14" s="45"/>
      <c r="M14" s="45"/>
      <c r="N14" s="45"/>
    </row>
    <row r="15" spans="2:15" ht="20" x14ac:dyDescent="0.4">
      <c r="B15" s="22"/>
      <c r="C15" s="22"/>
      <c r="D15" s="21"/>
      <c r="E15" s="21"/>
      <c r="H15" s="21"/>
    </row>
    <row r="16" spans="2:15" ht="20.5" thickBot="1" x14ac:dyDescent="0.45">
      <c r="C16" s="65"/>
      <c r="D16" s="65"/>
      <c r="E16" s="65"/>
      <c r="F16" s="65"/>
      <c r="H16" s="17" t="s">
        <v>65</v>
      </c>
      <c r="I16" s="68"/>
      <c r="J16" s="23"/>
      <c r="L16" s="45"/>
      <c r="M16" s="45"/>
      <c r="N16" s="45"/>
    </row>
    <row r="17" spans="2:15" ht="20" x14ac:dyDescent="0.25">
      <c r="C17" s="137" t="s">
        <v>14</v>
      </c>
      <c r="D17" s="137"/>
      <c r="E17" s="137"/>
      <c r="F17" s="137"/>
      <c r="G17" s="19"/>
      <c r="H17" s="19"/>
      <c r="I17" s="132"/>
      <c r="J17" s="132"/>
      <c r="K17" s="19"/>
      <c r="L17" s="122"/>
      <c r="M17" s="122"/>
      <c r="N17" s="122"/>
      <c r="O17" s="122"/>
    </row>
    <row r="18" spans="2:15" ht="6" customHeight="1" thickBot="1" x14ac:dyDescent="0.3">
      <c r="B18" s="61"/>
      <c r="C18" s="61"/>
      <c r="D18" s="61"/>
      <c r="E18" s="61"/>
      <c r="F18" s="62"/>
      <c r="G18" s="63"/>
      <c r="H18" s="63"/>
      <c r="I18" s="63"/>
      <c r="J18" s="62"/>
    </row>
    <row r="19" spans="2:15" ht="21.5" thickTop="1" thickBot="1" x14ac:dyDescent="0.3">
      <c r="B19" s="112" t="s">
        <v>50</v>
      </c>
      <c r="C19" s="112"/>
      <c r="D19" s="112"/>
      <c r="E19" s="112"/>
      <c r="F19" s="112"/>
      <c r="G19" s="112"/>
      <c r="H19" s="112"/>
      <c r="I19" s="112"/>
      <c r="J19" s="112"/>
    </row>
    <row r="20" spans="2:15" ht="18" thickBot="1" x14ac:dyDescent="0.4">
      <c r="B20" s="50" t="s">
        <v>26</v>
      </c>
      <c r="C20" s="8" t="s">
        <v>0</v>
      </c>
      <c r="D20" s="8" t="s">
        <v>1</v>
      </c>
      <c r="E20" s="8" t="s">
        <v>22</v>
      </c>
      <c r="F20" s="8" t="s">
        <v>27</v>
      </c>
      <c r="G20" s="133" t="s">
        <v>36</v>
      </c>
      <c r="H20" s="134"/>
      <c r="I20" s="135"/>
      <c r="J20" s="50" t="s">
        <v>28</v>
      </c>
    </row>
    <row r="21" spans="2:15" ht="40" customHeight="1" x14ac:dyDescent="0.5">
      <c r="B21" s="89"/>
      <c r="C21" s="101" t="str">
        <f>'Control Entry'!N$28</f>
        <v/>
      </c>
      <c r="D21" s="101" t="str">
        <f>'Control Entry'!O$28</f>
        <v/>
      </c>
      <c r="E21" s="90"/>
      <c r="F21" s="91" t="str">
        <f>IF(ISBLANK('Control Entry'!F$28),"",'Control Entry'!F$28)</f>
        <v/>
      </c>
      <c r="G21" s="126" t="str">
        <f>IF(ISBLANK('Control Entry'!I$28),"",'Control Entry'!I$28)</f>
        <v/>
      </c>
      <c r="H21" s="127"/>
      <c r="I21" s="128"/>
      <c r="J21" s="92"/>
    </row>
    <row r="22" spans="2:15" ht="40" customHeight="1" x14ac:dyDescent="0.5">
      <c r="B22" s="93" t="str">
        <f>IF(ISBLANK('Control Entry'!D$28),"",'Control Entry'!D$28)</f>
        <v/>
      </c>
      <c r="C22" s="94" t="str">
        <f>'Control Entry'!N$28</f>
        <v/>
      </c>
      <c r="D22" s="94" t="str">
        <f>'Control Entry'!O$28</f>
        <v/>
      </c>
      <c r="E22" s="91" t="str">
        <f>IF(ISBLANK('Control Entry'!E$28),"",'Control Entry'!E$28)</f>
        <v/>
      </c>
      <c r="F22" s="91" t="str">
        <f>IF(ISBLANK('Control Entry'!G$28),"",'Control Entry'!G$28)</f>
        <v/>
      </c>
      <c r="G22" s="129" t="str">
        <f>IF(ISBLANK('Control Entry'!J$28),"",'Control Entry'!J$28)</f>
        <v/>
      </c>
      <c r="H22" s="130"/>
      <c r="I22" s="131"/>
      <c r="J22" s="95"/>
    </row>
    <row r="23" spans="2:15" ht="40" customHeight="1" thickBot="1" x14ac:dyDescent="0.55000000000000004">
      <c r="B23" s="96"/>
      <c r="C23" s="102" t="str">
        <f>'Control Entry'!N$28</f>
        <v/>
      </c>
      <c r="D23" s="102" t="str">
        <f>'Control Entry'!O$28</f>
        <v/>
      </c>
      <c r="E23" s="97"/>
      <c r="F23" s="98" t="str">
        <f>IF(ISBLANK('Control Entry'!H$28),"",'Control Entry'!H$28)</f>
        <v/>
      </c>
      <c r="G23" s="123" t="str">
        <f>IF(ISBLANK('Control Entry'!K$28),"",'Control Entry'!K$28)</f>
        <v/>
      </c>
      <c r="H23" s="124"/>
      <c r="I23" s="125"/>
      <c r="J23" s="99"/>
    </row>
    <row r="24" spans="2:15" ht="40" customHeight="1" x14ac:dyDescent="0.5">
      <c r="B24" s="89"/>
      <c r="C24" s="101" t="str">
        <f>'Control Entry'!N$29</f>
        <v/>
      </c>
      <c r="D24" s="101" t="str">
        <f>'Control Entry'!O$29</f>
        <v/>
      </c>
      <c r="E24" s="90"/>
      <c r="F24" s="91" t="str">
        <f>IF(ISBLANK('Control Entry'!F$29),"",'Control Entry'!F$29)</f>
        <v/>
      </c>
      <c r="G24" s="126" t="str">
        <f>IF(ISBLANK('Control Entry'!I$29),"",'Control Entry'!I$29)</f>
        <v/>
      </c>
      <c r="H24" s="127"/>
      <c r="I24" s="128"/>
      <c r="J24" s="92"/>
    </row>
    <row r="25" spans="2:15" ht="40" customHeight="1" x14ac:dyDescent="0.5">
      <c r="B25" s="93" t="str">
        <f>IF(ISBLANK('Control Entry'!D$29),"",'Control Entry'!D$29)</f>
        <v/>
      </c>
      <c r="C25" s="94" t="str">
        <f>'Control Entry'!N$29</f>
        <v/>
      </c>
      <c r="D25" s="94" t="str">
        <f>'Control Entry'!O$29</f>
        <v/>
      </c>
      <c r="E25" s="91" t="str">
        <f>IF(ISBLANK('Control Entry'!E$29),"",'Control Entry'!E$29)</f>
        <v/>
      </c>
      <c r="F25" s="91" t="str">
        <f>IF(ISBLANK('Control Entry'!G$29),"",'Control Entry'!G$29)</f>
        <v/>
      </c>
      <c r="G25" s="129" t="str">
        <f>IF(ISBLANK('Control Entry'!J$29),"",'Control Entry'!J$29)</f>
        <v/>
      </c>
      <c r="H25" s="130"/>
      <c r="I25" s="131"/>
      <c r="J25" s="95"/>
    </row>
    <row r="26" spans="2:15" ht="40" customHeight="1" thickBot="1" x14ac:dyDescent="0.55000000000000004">
      <c r="B26" s="96"/>
      <c r="C26" s="102" t="str">
        <f>'Control Entry'!N$29</f>
        <v/>
      </c>
      <c r="D26" s="102" t="str">
        <f>'Control Entry'!O$29</f>
        <v/>
      </c>
      <c r="E26" s="97"/>
      <c r="F26" s="98" t="str">
        <f>IF(ISBLANK('Control Entry'!H$29),"",'Control Entry'!H$29)</f>
        <v/>
      </c>
      <c r="G26" s="123" t="str">
        <f>IF(ISBLANK('Control Entry'!K$29),"",'Control Entry'!K$29)</f>
        <v/>
      </c>
      <c r="H26" s="124"/>
      <c r="I26" s="125"/>
      <c r="J26" s="99"/>
    </row>
    <row r="27" spans="2:15" ht="40" customHeight="1" x14ac:dyDescent="0.5">
      <c r="B27" s="89"/>
      <c r="C27" s="101" t="str">
        <f>'Control Entry'!N$30</f>
        <v/>
      </c>
      <c r="D27" s="101" t="str">
        <f>'Control Entry'!O$30</f>
        <v/>
      </c>
      <c r="E27" s="90"/>
      <c r="F27" s="91" t="str">
        <f>IF(ISBLANK('Control Entry'!F$30),"",'Control Entry'!F$30)</f>
        <v/>
      </c>
      <c r="G27" s="126" t="str">
        <f>IF(ISBLANK('Control Entry'!I$30),"",'Control Entry'!I$30)</f>
        <v/>
      </c>
      <c r="H27" s="127"/>
      <c r="I27" s="128"/>
      <c r="J27" s="92"/>
    </row>
    <row r="28" spans="2:15" ht="40" customHeight="1" x14ac:dyDescent="0.5">
      <c r="B28" s="93" t="str">
        <f>IF(ISBLANK('Control Entry'!D$30),"",'Control Entry'!D$30)</f>
        <v/>
      </c>
      <c r="C28" s="94" t="str">
        <f>'Control Entry'!N$30</f>
        <v/>
      </c>
      <c r="D28" s="94" t="str">
        <f>'Control Entry'!O$30</f>
        <v/>
      </c>
      <c r="E28" s="91" t="str">
        <f>IF(ISBLANK('Control Entry'!E$30),"",'Control Entry'!E$30)</f>
        <v/>
      </c>
      <c r="F28" s="91" t="str">
        <f>IF(ISBLANK('Control Entry'!G$30),"",'Control Entry'!G$30)</f>
        <v/>
      </c>
      <c r="G28" s="129" t="str">
        <f>IF(ISBLANK('Control Entry'!J$30),"",'Control Entry'!J$30)</f>
        <v/>
      </c>
      <c r="H28" s="130"/>
      <c r="I28" s="131"/>
      <c r="J28" s="95"/>
    </row>
    <row r="29" spans="2:15" ht="40" customHeight="1" thickBot="1" x14ac:dyDescent="0.55000000000000004">
      <c r="B29" s="96"/>
      <c r="C29" s="102" t="str">
        <f>'Control Entry'!N$30</f>
        <v/>
      </c>
      <c r="D29" s="102" t="str">
        <f>'Control Entry'!O$30</f>
        <v/>
      </c>
      <c r="E29" s="97"/>
      <c r="F29" s="98" t="str">
        <f>IF(ISBLANK('Control Entry'!H$30),"",'Control Entry'!H$30)</f>
        <v/>
      </c>
      <c r="G29" s="123" t="str">
        <f>IF(ISBLANK('Control Entry'!K$30),"",'Control Entry'!K$30)</f>
        <v/>
      </c>
      <c r="H29" s="124"/>
      <c r="I29" s="125"/>
      <c r="J29" s="99"/>
    </row>
    <row r="30" spans="2:15" ht="40" customHeight="1" x14ac:dyDescent="0.5">
      <c r="B30" s="89"/>
      <c r="C30" s="101" t="str">
        <f>'Control Entry'!N$31</f>
        <v/>
      </c>
      <c r="D30" s="101" t="str">
        <f>'Control Entry'!O$31</f>
        <v/>
      </c>
      <c r="E30" s="90"/>
      <c r="F30" s="91" t="str">
        <f>IF(ISBLANK('Control Entry'!F$31),"",'Control Entry'!F$31)</f>
        <v/>
      </c>
      <c r="G30" s="126" t="str">
        <f>IF(ISBLANK('Control Entry'!I$31),"",'Control Entry'!I$31)</f>
        <v/>
      </c>
      <c r="H30" s="127"/>
      <c r="I30" s="128"/>
      <c r="J30" s="92"/>
    </row>
    <row r="31" spans="2:15" ht="40" customHeight="1" x14ac:dyDescent="0.5">
      <c r="B31" s="93" t="str">
        <f>IF(ISBLANK('Control Entry'!D$31),"",'Control Entry'!D$31)</f>
        <v/>
      </c>
      <c r="C31" s="94" t="str">
        <f>'Control Entry'!N$31</f>
        <v/>
      </c>
      <c r="D31" s="94" t="str">
        <f>'Control Entry'!O$31</f>
        <v/>
      </c>
      <c r="E31" s="91" t="str">
        <f>IF(ISBLANK('Control Entry'!E$31),"",'Control Entry'!E$31)</f>
        <v/>
      </c>
      <c r="F31" s="91" t="str">
        <f>IF(ISBLANK('Control Entry'!G$31),"",'Control Entry'!G$31)</f>
        <v/>
      </c>
      <c r="G31" s="129" t="str">
        <f>IF(ISBLANK('Control Entry'!J$31),"",'Control Entry'!J$31)</f>
        <v/>
      </c>
      <c r="H31" s="130"/>
      <c r="I31" s="131"/>
      <c r="J31" s="95"/>
    </row>
    <row r="32" spans="2:15" ht="40" customHeight="1" thickBot="1" x14ac:dyDescent="0.55000000000000004">
      <c r="B32" s="96"/>
      <c r="C32" s="102" t="str">
        <f>'Control Entry'!N$31</f>
        <v/>
      </c>
      <c r="D32" s="102" t="str">
        <f>'Control Entry'!O$31</f>
        <v/>
      </c>
      <c r="E32" s="97"/>
      <c r="F32" s="98" t="str">
        <f>IF(ISBLANK('Control Entry'!H$31),"",'Control Entry'!H$31)</f>
        <v/>
      </c>
      <c r="G32" s="123" t="str">
        <f>IF(ISBLANK('Control Entry'!K$31),"",'Control Entry'!K$31)</f>
        <v/>
      </c>
      <c r="H32" s="124"/>
      <c r="I32" s="125"/>
      <c r="J32" s="99"/>
    </row>
    <row r="33" spans="2:10" ht="40" customHeight="1" x14ac:dyDescent="0.5">
      <c r="B33" s="89"/>
      <c r="C33" s="101" t="str">
        <f>'Control Entry'!N$32</f>
        <v/>
      </c>
      <c r="D33" s="101" t="str">
        <f>'Control Entry'!O$32</f>
        <v/>
      </c>
      <c r="E33" s="90"/>
      <c r="F33" s="91" t="str">
        <f>IF(ISBLANK('Control Entry'!F$32),"",'Control Entry'!F$32)</f>
        <v/>
      </c>
      <c r="G33" s="126" t="str">
        <f>IF(ISBLANK('Control Entry'!I$32),"",'Control Entry'!I$32)</f>
        <v/>
      </c>
      <c r="H33" s="127"/>
      <c r="I33" s="128"/>
      <c r="J33" s="92"/>
    </row>
    <row r="34" spans="2:10" ht="40" customHeight="1" x14ac:dyDescent="0.5">
      <c r="B34" s="93" t="str">
        <f>IF(ISBLANK('Control Entry'!D$32),"",'Control Entry'!D$32)</f>
        <v/>
      </c>
      <c r="C34" s="94" t="str">
        <f>'Control Entry'!N$32</f>
        <v/>
      </c>
      <c r="D34" s="94" t="str">
        <f>'Control Entry'!O$32</f>
        <v/>
      </c>
      <c r="E34" s="91" t="str">
        <f>IF(ISBLANK('Control Entry'!E$32),"",'Control Entry'!E$32)</f>
        <v/>
      </c>
      <c r="F34" s="91" t="str">
        <f>IF(ISBLANK('Control Entry'!G$32),"",'Control Entry'!G$32)</f>
        <v/>
      </c>
      <c r="G34" s="129" t="str">
        <f>IF(ISBLANK('Control Entry'!J$32),"",'Control Entry'!J$32)</f>
        <v/>
      </c>
      <c r="H34" s="130"/>
      <c r="I34" s="131"/>
      <c r="J34" s="95"/>
    </row>
    <row r="35" spans="2:10" ht="40" customHeight="1" thickBot="1" x14ac:dyDescent="0.55000000000000004">
      <c r="B35" s="96"/>
      <c r="C35" s="102" t="str">
        <f>'Control Entry'!N$32</f>
        <v/>
      </c>
      <c r="D35" s="102" t="str">
        <f>'Control Entry'!O$32</f>
        <v/>
      </c>
      <c r="E35" s="97"/>
      <c r="F35" s="98" t="str">
        <f>IF(ISBLANK('Control Entry'!H$32),"",'Control Entry'!H$32)</f>
        <v/>
      </c>
      <c r="G35" s="123" t="str">
        <f>IF(ISBLANK('Control Entry'!K$32),"",'Control Entry'!K$32)</f>
        <v/>
      </c>
      <c r="H35" s="124"/>
      <c r="I35" s="125"/>
      <c r="J35" s="99"/>
    </row>
    <row r="36" spans="2:10" ht="40" customHeight="1" x14ac:dyDescent="0.5">
      <c r="B36" s="89"/>
      <c r="C36" s="101" t="str">
        <f>'Control Entry'!N$33</f>
        <v/>
      </c>
      <c r="D36" s="101" t="str">
        <f>'Control Entry'!O$33</f>
        <v/>
      </c>
      <c r="E36" s="90"/>
      <c r="F36" s="91" t="str">
        <f>IF(ISBLANK('Control Entry'!F$33),"",'Control Entry'!F$33)</f>
        <v/>
      </c>
      <c r="G36" s="126" t="str">
        <f>IF(ISBLANK('Control Entry'!I$33),"",'Control Entry'!I$33)</f>
        <v/>
      </c>
      <c r="H36" s="127"/>
      <c r="I36" s="128"/>
      <c r="J36" s="92"/>
    </row>
    <row r="37" spans="2:10" ht="40" customHeight="1" x14ac:dyDescent="0.5">
      <c r="B37" s="93" t="str">
        <f>IF(ISBLANK('Control Entry'!D$33),"",'Control Entry'!D$33)</f>
        <v/>
      </c>
      <c r="C37" s="94" t="str">
        <f>'Control Entry'!N$33</f>
        <v/>
      </c>
      <c r="D37" s="94" t="str">
        <f>'Control Entry'!O$33</f>
        <v/>
      </c>
      <c r="E37" s="91" t="str">
        <f>IF(ISBLANK('Control Entry'!E$33),"",'Control Entry'!E$33)</f>
        <v/>
      </c>
      <c r="F37" s="91" t="str">
        <f>IF(ISBLANK('Control Entry'!G$33),"",'Control Entry'!G$33)</f>
        <v/>
      </c>
      <c r="G37" s="129" t="str">
        <f>IF(ISBLANK('Control Entry'!J$33),"",'Control Entry'!J$33)</f>
        <v/>
      </c>
      <c r="H37" s="130"/>
      <c r="I37" s="131"/>
      <c r="J37" s="95"/>
    </row>
    <row r="38" spans="2:10" ht="40" customHeight="1" thickBot="1" x14ac:dyDescent="0.55000000000000004">
      <c r="B38" s="96"/>
      <c r="C38" s="102" t="str">
        <f>'Control Entry'!N$33</f>
        <v/>
      </c>
      <c r="D38" s="102" t="str">
        <f>'Control Entry'!O$33</f>
        <v/>
      </c>
      <c r="E38" s="97"/>
      <c r="F38" s="98" t="str">
        <f>IF(ISBLANK('Control Entry'!H$33),"",'Control Entry'!H$33)</f>
        <v/>
      </c>
      <c r="G38" s="123" t="str">
        <f>IF(ISBLANK('Control Entry'!K$33),"",'Control Entry'!K$33)</f>
        <v/>
      </c>
      <c r="H38" s="124"/>
      <c r="I38" s="125"/>
      <c r="J38" s="99"/>
    </row>
    <row r="39" spans="2:10" ht="40" customHeight="1" x14ac:dyDescent="0.5">
      <c r="B39" s="89"/>
      <c r="C39" s="101" t="str">
        <f>'Control Entry'!N$34</f>
        <v/>
      </c>
      <c r="D39" s="101" t="str">
        <f>'Control Entry'!O$34</f>
        <v/>
      </c>
      <c r="E39" s="90"/>
      <c r="F39" s="91" t="str">
        <f>IF(ISBLANK('Control Entry'!F$34),"",'Control Entry'!F$34)</f>
        <v/>
      </c>
      <c r="G39" s="126" t="str">
        <f>IF(ISBLANK('Control Entry'!I$34),"",'Control Entry'!I$34)</f>
        <v/>
      </c>
      <c r="H39" s="127"/>
      <c r="I39" s="128"/>
      <c r="J39" s="92"/>
    </row>
    <row r="40" spans="2:10" ht="40" customHeight="1" x14ac:dyDescent="0.5">
      <c r="B40" s="93" t="str">
        <f>IF(ISBLANK('Control Entry'!D$34),"",'Control Entry'!D$34)</f>
        <v/>
      </c>
      <c r="C40" s="94" t="str">
        <f>'Control Entry'!N$34</f>
        <v/>
      </c>
      <c r="D40" s="94" t="str">
        <f>'Control Entry'!O$34</f>
        <v/>
      </c>
      <c r="E40" s="91" t="str">
        <f>IF(ISBLANK('Control Entry'!E$34),"",'Control Entry'!E$34)</f>
        <v/>
      </c>
      <c r="F40" s="91" t="str">
        <f>IF(ISBLANK('Control Entry'!G$34),"",'Control Entry'!G$34)</f>
        <v/>
      </c>
      <c r="G40" s="129" t="str">
        <f>IF(ISBLANK('Control Entry'!J$34),"",'Control Entry'!J$34)</f>
        <v/>
      </c>
      <c r="H40" s="130"/>
      <c r="I40" s="131"/>
      <c r="J40" s="95"/>
    </row>
    <row r="41" spans="2:10" ht="40" customHeight="1" thickBot="1" x14ac:dyDescent="0.55000000000000004">
      <c r="B41" s="96"/>
      <c r="C41" s="102" t="str">
        <f>'Control Entry'!N$34</f>
        <v/>
      </c>
      <c r="D41" s="102" t="str">
        <f>'Control Entry'!O$34</f>
        <v/>
      </c>
      <c r="E41" s="97"/>
      <c r="F41" s="98" t="str">
        <f>IF(ISBLANK('Control Entry'!H$34),"",'Control Entry'!H$34)</f>
        <v/>
      </c>
      <c r="G41" s="123" t="str">
        <f>IF(ISBLANK('Control Entry'!K$34),"",'Control Entry'!K$34)</f>
        <v/>
      </c>
      <c r="H41" s="124"/>
      <c r="I41" s="125"/>
      <c r="J41" s="99"/>
    </row>
    <row r="42" spans="2:10" ht="40" customHeight="1" x14ac:dyDescent="0.5">
      <c r="B42" s="89"/>
      <c r="C42" s="101" t="str">
        <f>'Control Entry'!N$35</f>
        <v/>
      </c>
      <c r="D42" s="101" t="str">
        <f>'Control Entry'!O$35</f>
        <v/>
      </c>
      <c r="E42" s="90"/>
      <c r="F42" s="91" t="str">
        <f>IF(ISBLANK('Control Entry'!F$35),"",'Control Entry'!F$35)</f>
        <v/>
      </c>
      <c r="G42" s="126" t="str">
        <f>IF(ISBLANK('Control Entry'!I$35),"",'Control Entry'!I$35)</f>
        <v/>
      </c>
      <c r="H42" s="127"/>
      <c r="I42" s="128"/>
      <c r="J42" s="92"/>
    </row>
    <row r="43" spans="2:10" ht="40" customHeight="1" x14ac:dyDescent="0.5">
      <c r="B43" s="93" t="str">
        <f>IF(ISBLANK('Control Entry'!D$35),"",'Control Entry'!D$35)</f>
        <v/>
      </c>
      <c r="C43" s="94" t="str">
        <f>'Control Entry'!N$35</f>
        <v/>
      </c>
      <c r="D43" s="94" t="str">
        <f>'Control Entry'!O$35</f>
        <v/>
      </c>
      <c r="E43" s="91" t="str">
        <f>IF(ISBLANK('Control Entry'!E$35),"",'Control Entry'!E$35)</f>
        <v/>
      </c>
      <c r="F43" s="91" t="str">
        <f>IF(ISBLANK('Control Entry'!G$35),"",'Control Entry'!G$35)</f>
        <v/>
      </c>
      <c r="G43" s="129" t="str">
        <f>IF(ISBLANK('Control Entry'!J$35),"",'Control Entry'!J$35)</f>
        <v/>
      </c>
      <c r="H43" s="130"/>
      <c r="I43" s="131"/>
      <c r="J43" s="95"/>
    </row>
    <row r="44" spans="2:10" ht="40" customHeight="1" thickBot="1" x14ac:dyDescent="0.55000000000000004">
      <c r="B44" s="96"/>
      <c r="C44" s="102" t="str">
        <f>'Control Entry'!N$35</f>
        <v/>
      </c>
      <c r="D44" s="102" t="str">
        <f>'Control Entry'!O$35</f>
        <v/>
      </c>
      <c r="E44" s="97"/>
      <c r="F44" s="98" t="str">
        <f>IF(ISBLANK('Control Entry'!H$35),"",'Control Entry'!H$35)</f>
        <v/>
      </c>
      <c r="G44" s="123" t="str">
        <f>IF(ISBLANK('Control Entry'!K$35),"",'Control Entry'!K$35)</f>
        <v/>
      </c>
      <c r="H44" s="124"/>
      <c r="I44" s="125"/>
      <c r="J44" s="99"/>
    </row>
    <row r="45" spans="2:10" ht="40" customHeight="1" x14ac:dyDescent="0.5">
      <c r="B45" s="89"/>
      <c r="C45" s="101" t="str">
        <f>'Control Entry'!N$36</f>
        <v/>
      </c>
      <c r="D45" s="101" t="str">
        <f>'Control Entry'!O$36</f>
        <v/>
      </c>
      <c r="E45" s="90"/>
      <c r="F45" s="91" t="str">
        <f>IF(ISBLANK('Control Entry'!F$36),"",'Control Entry'!F$36)</f>
        <v/>
      </c>
      <c r="G45" s="126" t="str">
        <f>IF(ISBLANK('Control Entry'!I$36),"",'Control Entry'!I$36)</f>
        <v/>
      </c>
      <c r="H45" s="127"/>
      <c r="I45" s="128"/>
      <c r="J45" s="92"/>
    </row>
    <row r="46" spans="2:10" ht="40" customHeight="1" x14ac:dyDescent="0.5">
      <c r="B46" s="93" t="str">
        <f>IF(ISBLANK('Control Entry'!D$36),"",'Control Entry'!D$36)</f>
        <v/>
      </c>
      <c r="C46" s="94" t="str">
        <f>'Control Entry'!N$36</f>
        <v/>
      </c>
      <c r="D46" s="94" t="str">
        <f>'Control Entry'!O$36</f>
        <v/>
      </c>
      <c r="E46" s="91" t="str">
        <f>IF(ISBLANK('Control Entry'!E$36),"",'Control Entry'!E$36)</f>
        <v/>
      </c>
      <c r="F46" s="91" t="str">
        <f>IF(ISBLANK('Control Entry'!G$36),"",'Control Entry'!G$36)</f>
        <v/>
      </c>
      <c r="G46" s="129" t="str">
        <f>IF(ISBLANK('Control Entry'!J$36),"",'Control Entry'!J$36)</f>
        <v/>
      </c>
      <c r="H46" s="130"/>
      <c r="I46" s="131"/>
      <c r="J46" s="95"/>
    </row>
    <row r="47" spans="2:10" ht="40" customHeight="1" thickBot="1" x14ac:dyDescent="0.55000000000000004">
      <c r="B47" s="96"/>
      <c r="C47" s="102" t="str">
        <f>'Control Entry'!N$36</f>
        <v/>
      </c>
      <c r="D47" s="102" t="str">
        <f>'Control Entry'!O$36</f>
        <v/>
      </c>
      <c r="E47" s="97"/>
      <c r="F47" s="98" t="str">
        <f>IF(ISBLANK('Control Entry'!H$36),"",'Control Entry'!H$36)</f>
        <v/>
      </c>
      <c r="G47" s="123" t="str">
        <f>IF(ISBLANK('Control Entry'!K$36),"",'Control Entry'!K$36)</f>
        <v/>
      </c>
      <c r="H47" s="124"/>
      <c r="I47" s="125"/>
      <c r="J47" s="99"/>
    </row>
    <row r="48" spans="2:10" ht="40" customHeight="1" x14ac:dyDescent="0.5">
      <c r="B48" s="89"/>
      <c r="C48" s="101" t="str">
        <f>'Control Entry'!N$37</f>
        <v/>
      </c>
      <c r="D48" s="101" t="str">
        <f>'Control Entry'!O$37</f>
        <v/>
      </c>
      <c r="E48" s="90"/>
      <c r="F48" s="91" t="str">
        <f>IF(ISBLANK('Control Entry'!F$37),"",'Control Entry'!F$37)</f>
        <v/>
      </c>
      <c r="G48" s="126" t="str">
        <f>IF(ISBLANK('Control Entry'!I$37),"",'Control Entry'!I$37)</f>
        <v/>
      </c>
      <c r="H48" s="127"/>
      <c r="I48" s="128"/>
      <c r="J48" s="92"/>
    </row>
    <row r="49" spans="2:11" ht="40" customHeight="1" x14ac:dyDescent="0.5">
      <c r="B49" s="93" t="str">
        <f>IF(ISBLANK('Control Entry'!D$37),"",'Control Entry'!D$37)</f>
        <v/>
      </c>
      <c r="C49" s="94" t="str">
        <f>'Control Entry'!N$37</f>
        <v/>
      </c>
      <c r="D49" s="94" t="str">
        <f>'Control Entry'!O$37</f>
        <v/>
      </c>
      <c r="E49" s="91" t="str">
        <f>IF(ISBLANK('Control Entry'!E$37),"",'Control Entry'!E$37)</f>
        <v/>
      </c>
      <c r="F49" s="91" t="str">
        <f>IF(ISBLANK('Control Entry'!G$37),"",'Control Entry'!G$37)</f>
        <v/>
      </c>
      <c r="G49" s="129" t="str">
        <f>IF(ISBLANK('Control Entry'!J$37),"",'Control Entry'!J$37)</f>
        <v/>
      </c>
      <c r="H49" s="130"/>
      <c r="I49" s="131"/>
      <c r="J49" s="95"/>
    </row>
    <row r="50" spans="2:11" ht="40" customHeight="1" thickBot="1" x14ac:dyDescent="0.55000000000000004">
      <c r="B50" s="96"/>
      <c r="C50" s="102" t="str">
        <f>'Control Entry'!N$37</f>
        <v/>
      </c>
      <c r="D50" s="102" t="str">
        <f>'Control Entry'!O$37</f>
        <v/>
      </c>
      <c r="E50" s="97"/>
      <c r="F50" s="98" t="str">
        <f>IF(ISBLANK('Control Entry'!H$37),"",'Control Entry'!H$37)</f>
        <v/>
      </c>
      <c r="G50" s="123" t="str">
        <f>IF(ISBLANK('Control Entry'!K$37),"",'Control Entry'!K$37)</f>
        <v/>
      </c>
      <c r="H50" s="124"/>
      <c r="I50" s="125"/>
      <c r="J50" s="99"/>
    </row>
    <row r="52" spans="2:11" ht="24" customHeight="1" x14ac:dyDescent="0.25">
      <c r="B52" s="140" t="s">
        <v>30</v>
      </c>
      <c r="C52" s="140"/>
      <c r="D52" s="140"/>
      <c r="E52" s="140"/>
      <c r="F52" s="140"/>
      <c r="I52" s="58" t="s">
        <v>56</v>
      </c>
      <c r="J52" s="81" t="str">
        <f>IF(ISBLANK('Control Entry'!F10),"",'Control Entry'!F10)</f>
        <v/>
      </c>
      <c r="K52" s="54"/>
    </row>
    <row r="54" spans="2:11" x14ac:dyDescent="0.25">
      <c r="B54" s="76" t="s">
        <v>59</v>
      </c>
      <c r="C54" s="77">
        <f>'Control Entry'!B3</f>
        <v>45428</v>
      </c>
    </row>
    <row r="55" spans="2:11" ht="22.5" x14ac:dyDescent="0.25">
      <c r="B55" s="58"/>
      <c r="C55" s="58"/>
      <c r="D55" s="58"/>
      <c r="E55" s="58"/>
      <c r="F55" s="54"/>
      <c r="G55" s="60"/>
      <c r="H55" s="60"/>
      <c r="I55" s="60"/>
      <c r="J55" s="54"/>
    </row>
    <row r="56" spans="2:11" x14ac:dyDescent="0.25">
      <c r="E56" s="1"/>
    </row>
    <row r="57" spans="2:11" x14ac:dyDescent="0.25">
      <c r="B57" s="56"/>
      <c r="C57" s="57"/>
      <c r="D57" s="57"/>
      <c r="E57" s="57"/>
      <c r="F57" s="138"/>
      <c r="G57" s="139"/>
      <c r="H57" s="139"/>
      <c r="I57" s="139"/>
      <c r="J57" s="139"/>
    </row>
  </sheetData>
  <mergeCells count="50">
    <mergeCell ref="C2:F2"/>
    <mergeCell ref="E3:H3"/>
    <mergeCell ref="E4:H4"/>
    <mergeCell ref="E5:H6"/>
    <mergeCell ref="C7:F8"/>
    <mergeCell ref="H7:H8"/>
    <mergeCell ref="G20:I20"/>
    <mergeCell ref="B10:C10"/>
    <mergeCell ref="E10:G10"/>
    <mergeCell ref="L10:M10"/>
    <mergeCell ref="N10:O10"/>
    <mergeCell ref="D12:E12"/>
    <mergeCell ref="D14:E14"/>
    <mergeCell ref="C17:F17"/>
    <mergeCell ref="I17:J17"/>
    <mergeCell ref="L17:M17"/>
    <mergeCell ref="N17:O17"/>
    <mergeCell ref="B19:J19"/>
    <mergeCell ref="G32:I32"/>
    <mergeCell ref="G21:I21"/>
    <mergeCell ref="G22:I22"/>
    <mergeCell ref="G23:I23"/>
    <mergeCell ref="G24:I24"/>
    <mergeCell ref="G25:I25"/>
    <mergeCell ref="G26:I26"/>
    <mergeCell ref="G27:I27"/>
    <mergeCell ref="G28:I28"/>
    <mergeCell ref="G29:I29"/>
    <mergeCell ref="G30:I30"/>
    <mergeCell ref="G31:I31"/>
    <mergeCell ref="G44:I44"/>
    <mergeCell ref="G33:I33"/>
    <mergeCell ref="G34:I34"/>
    <mergeCell ref="G35:I35"/>
    <mergeCell ref="G36:I36"/>
    <mergeCell ref="G37:I37"/>
    <mergeCell ref="G38:I38"/>
    <mergeCell ref="G39:I39"/>
    <mergeCell ref="G40:I40"/>
    <mergeCell ref="G41:I41"/>
    <mergeCell ref="G42:I42"/>
    <mergeCell ref="G43:I43"/>
    <mergeCell ref="B52:F52"/>
    <mergeCell ref="F57:J57"/>
    <mergeCell ref="G45:I45"/>
    <mergeCell ref="G46:I46"/>
    <mergeCell ref="G47:I47"/>
    <mergeCell ref="G48:I48"/>
    <mergeCell ref="G49:I49"/>
    <mergeCell ref="G50:I50"/>
  </mergeCells>
  <printOptions horizontalCentered="1" verticalCentered="1"/>
  <pageMargins left="0.39370078740157483" right="0.39370078740157483" top="0.39370078740157483" bottom="0.39370078740157483" header="0.15748031496062992" footer="0.15748031496062992"/>
  <pageSetup scale="37" orientation="portrait" horizontalDpi="0" verticalDpi="0"/>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activity xmlns="4ad7fca0-f6c9-4317-b96d-7e17ba53d682" xsi:nil="true"/>
    <_ip_UnifiedCompliancePolicyProperties xmlns="http://schemas.microsoft.com/sharepoint/v3" xsi:nil="true"/>
    <MediaServiceKeyPoints xmlns="4ad7fca0-f6c9-4317-b96d-7e17ba53d682"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A3150F9C2FD05F45A9984A99906C0EA3" ma:contentTypeVersion="20" ma:contentTypeDescription="Create a new document." ma:contentTypeScope="" ma:versionID="5fe63e4208cac9d8652da0b4386f37ea">
  <xsd:schema xmlns:xsd="http://www.w3.org/2001/XMLSchema" xmlns:xs="http://www.w3.org/2001/XMLSchema" xmlns:p="http://schemas.microsoft.com/office/2006/metadata/properties" xmlns:ns1="http://schemas.microsoft.com/sharepoint/v3" xmlns:ns3="4ad7fca0-f6c9-4317-b96d-7e17ba53d682" xmlns:ns4="14f3a630-a644-432c-bf2b-f2e2df52eb58" targetNamespace="http://schemas.microsoft.com/office/2006/metadata/properties" ma:root="true" ma:fieldsID="336545424f12eb2f78107779b022cade" ns1:_="" ns3:_="" ns4:_="">
    <xsd:import namespace="http://schemas.microsoft.com/sharepoint/v3"/>
    <xsd:import namespace="4ad7fca0-f6c9-4317-b96d-7e17ba53d682"/>
    <xsd:import namespace="14f3a630-a644-432c-bf2b-f2e2df52eb58"/>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EventHashCode" minOccurs="0"/>
                <xsd:element ref="ns3:MediaServiceGenerationTime" minOccurs="0"/>
                <xsd:element ref="ns4:SharedWithUsers" minOccurs="0"/>
                <xsd:element ref="ns4:SharedWithDetails" minOccurs="0"/>
                <xsd:element ref="ns4:SharingHintHash" minOccurs="0"/>
                <xsd:element ref="ns3:MediaServiceAutoKeyPoints" minOccurs="0"/>
                <xsd:element ref="ns3:MediaServiceKeyPoints" minOccurs="0"/>
                <xsd:element ref="ns1:_ip_UnifiedCompliancePolicyProperties" minOccurs="0"/>
                <xsd:element ref="ns1:_ip_UnifiedCompliancePolicyUIAction" minOccurs="0"/>
                <xsd:element ref="ns3:MediaServiceLocation" minOccurs="0"/>
                <xsd:element ref="ns3:MediaLengthInSeconds" minOccurs="0"/>
                <xsd:element ref="ns3:_activity" minOccurs="0"/>
                <xsd:element ref="ns3:MediaServiceSearchProperties" minOccurs="0"/>
                <xsd:element ref="ns3:MediaServiceObjectDetectorVersion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ad7fca0-f6c9-4317-b96d-7e17ba53d68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false">
      <xsd:simpleType>
        <xsd:restriction base="dms:Note">
          <xsd:maxLength value="255"/>
        </xsd:restriction>
      </xsd:simpleType>
    </xsd:element>
    <xsd:element name="MediaServiceLocation" ma:index="22" nillable="true" ma:displayName="Location" ma:internalName="MediaServiceLocation" ma:readOnly="true">
      <xsd:simpleType>
        <xsd:restriction base="dms:Text"/>
      </xsd:simpleType>
    </xsd:element>
    <xsd:element name="MediaLengthInSeconds" ma:index="23" nillable="true" ma:displayName="Length (seconds)" ma:hidden="true" ma:internalName="MediaLengthInSeconds" ma:readOnly="true">
      <xsd:simpleType>
        <xsd:restriction base="dms:Unknown"/>
      </xsd:simpleType>
    </xsd:element>
    <xsd:element name="_activity" ma:index="24" nillable="true" ma:displayName="_activity" ma:hidden="true" ma:internalName="_activity">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ObjectDetectorVersions" ma:index="26" nillable="true" ma:displayName="MediaServiceObjectDetectorVersions" ma:description="" ma:hidden="true" ma:indexed="true" ma:internalName="MediaServiceObjectDetectorVersions" ma:readOnly="true">
      <xsd:simpleType>
        <xsd:restriction base="dms:Text"/>
      </xsd:simpleType>
    </xsd:element>
    <xsd:element name="MediaServiceSystemTags" ma:index="27"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4f3a630-a644-432c-bf2b-f2e2df52eb58"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SharingHintHash" ma:index="17"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F97D2BF-05EF-4FAE-8441-EC8650A40FD5}">
  <ds:schemaRefs>
    <ds:schemaRef ds:uri="http://www.w3.org/XML/1998/namespace"/>
    <ds:schemaRef ds:uri="http://purl.org/dc/dcmitype/"/>
    <ds:schemaRef ds:uri="http://schemas.microsoft.com/office/2006/documentManagement/types"/>
    <ds:schemaRef ds:uri="http://schemas.openxmlformats.org/package/2006/metadata/core-properties"/>
    <ds:schemaRef ds:uri="http://schemas.microsoft.com/sharepoint/v3"/>
    <ds:schemaRef ds:uri="http://purl.org/dc/terms/"/>
    <ds:schemaRef ds:uri="http://purl.org/dc/elements/1.1/"/>
    <ds:schemaRef ds:uri="http://schemas.microsoft.com/office/infopath/2007/PartnerControls"/>
    <ds:schemaRef ds:uri="14f3a630-a644-432c-bf2b-f2e2df52eb58"/>
    <ds:schemaRef ds:uri="4ad7fca0-f6c9-4317-b96d-7e17ba53d682"/>
    <ds:schemaRef ds:uri="http://schemas.microsoft.com/office/2006/metadata/properties"/>
  </ds:schemaRefs>
</ds:datastoreItem>
</file>

<file path=customXml/itemProps2.xml><?xml version="1.0" encoding="utf-8"?>
<ds:datastoreItem xmlns:ds="http://schemas.openxmlformats.org/officeDocument/2006/customXml" ds:itemID="{5044A03D-9A44-45B0-89C3-50B74126132D}">
  <ds:schemaRefs>
    <ds:schemaRef ds:uri="http://schemas.microsoft.com/sharepoint/v3/contenttype/forms"/>
  </ds:schemaRefs>
</ds:datastoreItem>
</file>

<file path=customXml/itemProps3.xml><?xml version="1.0" encoding="utf-8"?>
<ds:datastoreItem xmlns:ds="http://schemas.openxmlformats.org/officeDocument/2006/customXml" ds:itemID="{2A25A231-37A5-4AB8-BFD2-1B6EA5A091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ad7fca0-f6c9-4317-b96d-7e17ba53d682"/>
    <ds:schemaRef ds:uri="14f3a630-a644-432c-bf2b-f2e2df52eb5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87ba5c36-b7cf-4793-bbc2-bd5b3a9f95ca}" enabled="1" method="Privileged" siteId="{72f988bf-86f1-41af-91ab-2d7cd011db47}"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28</vt:i4>
      </vt:variant>
    </vt:vector>
  </HeadingPairs>
  <TitlesOfParts>
    <vt:vector size="31" baseType="lpstr">
      <vt:lpstr>Control Entry</vt:lpstr>
      <vt:lpstr>Card #1</vt:lpstr>
      <vt:lpstr>Card #2</vt:lpstr>
      <vt:lpstr>brevet</vt:lpstr>
      <vt:lpstr>Brevet_Description</vt:lpstr>
      <vt:lpstr>Brevet_Length</vt:lpstr>
      <vt:lpstr>Brevet_Number</vt:lpstr>
      <vt:lpstr>Close</vt:lpstr>
      <vt:lpstr>Close_time</vt:lpstr>
      <vt:lpstr>Control_1</vt:lpstr>
      <vt:lpstr>Control_10</vt:lpstr>
      <vt:lpstr>Control_2</vt:lpstr>
      <vt:lpstr>Control_3</vt:lpstr>
      <vt:lpstr>Control_4</vt:lpstr>
      <vt:lpstr>Control_5</vt:lpstr>
      <vt:lpstr>Control_6</vt:lpstr>
      <vt:lpstr>Control_7</vt:lpstr>
      <vt:lpstr>Control_8</vt:lpstr>
      <vt:lpstr>Control_9</vt:lpstr>
      <vt:lpstr>Distance</vt:lpstr>
      <vt:lpstr>Establishment_1</vt:lpstr>
      <vt:lpstr>Establishment_2</vt:lpstr>
      <vt:lpstr>Establishment_3</vt:lpstr>
      <vt:lpstr>Locale</vt:lpstr>
      <vt:lpstr>Max_time</vt:lpstr>
      <vt:lpstr>Open</vt:lpstr>
      <vt:lpstr>Open_time</vt:lpstr>
      <vt:lpstr>'Card #1'!Print_Area</vt:lpstr>
      <vt:lpstr>'Card #2'!Print_Area</vt:lpstr>
      <vt:lpstr>Start_date</vt:lpstr>
      <vt:lpstr>Start_time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Stephen Hinde</dc:creator>
  <cp:lastModifiedBy>Charlotte Bourne</cp:lastModifiedBy>
  <cp:lastPrinted>2023-08-24T23:38:36Z</cp:lastPrinted>
  <dcterms:created xsi:type="dcterms:W3CDTF">1997-11-12T04:43:39Z</dcterms:created>
  <dcterms:modified xsi:type="dcterms:W3CDTF">2024-06-06T21:25:29Z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0x010100A3150F9C2FD05F45A9984A99906C0EA3</vt:lpwstr>
  </property>
</Properties>
</file>