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2/5165 200/"/>
    </mc:Choice>
  </mc:AlternateContent>
  <xr:revisionPtr revIDLastSave="0" documentId="13_ncr:1_{F1F27AB1-AAA5-464A-B6E1-134CBE3C56FA}" xr6:coauthVersionLast="36" xr6:coauthVersionMax="36" xr10:uidLastSave="{00000000-0000-0000-0000-000000000000}"/>
  <bookViews>
    <workbookView xWindow="0" yWindow="460" windowWidth="25600" windowHeight="15540" tabRatio="509" xr2:uid="{00000000-000D-0000-FFFF-FFFF00000000}"/>
  </bookViews>
  <sheets>
    <sheet name="Control Entry" sheetId="1" r:id="rId1"/>
    <sheet name="Control Card #1" sheetId="2" r:id="rId2"/>
    <sheet name="Control Card #2" sheetId="3" r:id="rId3"/>
    <sheet name="Control Card #3" sheetId="4" r:id="rId4"/>
    <sheet name="Control Card #4" sheetId="5" r:id="rId5"/>
  </sheets>
  <definedNames>
    <definedName name="Address_1" localSheetId="2">#REF!</definedName>
    <definedName name="Address_1" localSheetId="3">#REF!</definedName>
    <definedName name="Address_1" localSheetId="4">#REF!</definedName>
    <definedName name="Address_1">#REF!</definedName>
    <definedName name="Address_2" localSheetId="2">#REF!</definedName>
    <definedName name="Address_2" localSheetId="3">#REF!</definedName>
    <definedName name="Address_2" localSheetId="4">#REF!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2">#REF!</definedName>
    <definedName name="City" localSheetId="3">#REF!</definedName>
    <definedName name="City" localSheetId="4">#REF!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2">'Control Entry'!#REF!</definedName>
    <definedName name="Control_11" localSheetId="3">'Control Entry'!#REF!</definedName>
    <definedName name="Control_11" localSheetId="4">'Control Entry'!#REF!</definedName>
    <definedName name="Control_11">'Control Entry'!#REF!</definedName>
    <definedName name="Control_12" localSheetId="2">'Control Entry'!#REF!</definedName>
    <definedName name="Control_12" localSheetId="3">'Control Entry'!#REF!</definedName>
    <definedName name="Control_12" localSheetId="4">'Control Entry'!#REF!</definedName>
    <definedName name="Control_12">'Control Entry'!#REF!</definedName>
    <definedName name="Control_13" localSheetId="2">'Control Entry'!#REF!</definedName>
    <definedName name="Control_13" localSheetId="3">'Control Entry'!#REF!</definedName>
    <definedName name="Control_13" localSheetId="4">'Control Entry'!#REF!</definedName>
    <definedName name="Control_13">'Control Entry'!#REF!</definedName>
    <definedName name="Control_14" localSheetId="2">'Control Entry'!#REF!</definedName>
    <definedName name="Control_14" localSheetId="3">'Control Entry'!#REF!</definedName>
    <definedName name="Control_14" localSheetId="4">'Control Entry'!#REF!</definedName>
    <definedName name="Control_14">'Control Entry'!#REF!</definedName>
    <definedName name="Control_15" localSheetId="2">'Control Entry'!#REF!</definedName>
    <definedName name="Control_15" localSheetId="3">'Control Entry'!#REF!</definedName>
    <definedName name="Control_15" localSheetId="4">'Control Entry'!#REF!</definedName>
    <definedName name="Control_15">'Control Entry'!#REF!</definedName>
    <definedName name="Control_16" localSheetId="2">'Control Entry'!#REF!</definedName>
    <definedName name="Control_16" localSheetId="3">'Control Entry'!#REF!</definedName>
    <definedName name="Control_16" localSheetId="4">'Control Entry'!#REF!</definedName>
    <definedName name="Control_16">'Control Entry'!#REF!</definedName>
    <definedName name="Control_17" localSheetId="2">'Control Entry'!#REF!</definedName>
    <definedName name="Control_17" localSheetId="3">'Control Entry'!#REF!</definedName>
    <definedName name="Control_17" localSheetId="4">'Control Entry'!#REF!</definedName>
    <definedName name="Control_17">'Control Entry'!#REF!</definedName>
    <definedName name="Control_18" localSheetId="2">'Control Entry'!#REF!</definedName>
    <definedName name="Control_18" localSheetId="3">'Control Entry'!#REF!</definedName>
    <definedName name="Control_18" localSheetId="4">'Control Entry'!#REF!</definedName>
    <definedName name="Control_18">'Control Entry'!#REF!</definedName>
    <definedName name="Control_19" localSheetId="2">'Control Entry'!#REF!</definedName>
    <definedName name="Control_19" localSheetId="3">'Control Entry'!#REF!</definedName>
    <definedName name="Control_19" localSheetId="4">'Control Entry'!#REF!</definedName>
    <definedName name="Control_19">'Control Entry'!#REF!</definedName>
    <definedName name="Control_2">'Control Entry'!$D$16:$O$16</definedName>
    <definedName name="Control_20" localSheetId="2">'Control Entry'!#REF!</definedName>
    <definedName name="Control_20" localSheetId="3">'Control Entry'!#REF!</definedName>
    <definedName name="Control_20" localSheetId="4">'Control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2">#REF!</definedName>
    <definedName name="Country" localSheetId="3">#REF!</definedName>
    <definedName name="Country" localSheetId="4">#REF!</definedName>
    <definedName name="Country">#REF!</definedName>
    <definedName name="Distance">'Control Entry'!$D$15:$D$24</definedName>
    <definedName name="email" localSheetId="2">#REF!</definedName>
    <definedName name="email" localSheetId="3">#REF!</definedName>
    <definedName name="email" localSheetId="4">#REF!</definedName>
    <definedName name="email">#REF!</definedName>
    <definedName name="Establishment_1">'Control Entry'!$F$15:$F$24</definedName>
    <definedName name="Establishment_2">'Control Entry'!$G$15:$G$24</definedName>
    <definedName name="Establishment_3">'Control Entry'!$H$15:$H$24</definedName>
    <definedName name="Fax" localSheetId="2">#REF!</definedName>
    <definedName name="Fax" localSheetId="3">#REF!</definedName>
    <definedName name="Fax" localSheetId="4">#REF!</definedName>
    <definedName name="Fax">#REF!</definedName>
    <definedName name="First_Name" localSheetId="2">#REF!</definedName>
    <definedName name="First_Name" localSheetId="3">#REF!</definedName>
    <definedName name="First_Name" localSheetId="4">#REF!</definedName>
    <definedName name="First_Name">#REF!</definedName>
    <definedName name="Home_telephone" localSheetId="2">#REF!</definedName>
    <definedName name="Home_telephone" localSheetId="3">#REF!</definedName>
    <definedName name="Home_telephone" localSheetId="4">#REF!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 localSheetId="4">#REF!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2">#REF!</definedName>
    <definedName name="Postal_Code" localSheetId="3">#REF!</definedName>
    <definedName name="Postal_Code" localSheetId="4">#REF!</definedName>
    <definedName name="Postal_Code">#REF!</definedName>
    <definedName name="_xlnm.Print_Titles" localSheetId="1">'Control Card #1'!$1:$2</definedName>
    <definedName name="_xlnm.Print_Titles" localSheetId="2">'Control Card #2'!$1:$2</definedName>
    <definedName name="_xlnm.Print_Titles" localSheetId="3">'Control Card #3'!$1:$2</definedName>
    <definedName name="_xlnm.Print_Titles" localSheetId="4">'Control Card #4'!$1:$2</definedName>
    <definedName name="Province_State" localSheetId="2">#REF!</definedName>
    <definedName name="Province_State" localSheetId="3">#REF!</definedName>
    <definedName name="Province_State" localSheetId="4">#REF!</definedName>
    <definedName name="Province_State">#REF!</definedName>
    <definedName name="Start_date">'Control Entry'!$B$12</definedName>
    <definedName name="Start_time">'Control Entry'!$B$13</definedName>
    <definedName name="surname" localSheetId="2">#REF!</definedName>
    <definedName name="surname" localSheetId="3">#REF!</definedName>
    <definedName name="surname" localSheetId="4">#REF!</definedName>
    <definedName name="surname">#REF!</definedName>
    <definedName name="Work_telephone" localSheetId="2">#REF!</definedName>
    <definedName name="Work_telephone" localSheetId="3">#REF!</definedName>
    <definedName name="Work_telephone" localSheetId="4">#REF!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F32" i="5" l="1"/>
  <c r="F31" i="5"/>
  <c r="F30" i="5"/>
  <c r="E32" i="5"/>
  <c r="E31" i="5"/>
  <c r="E30" i="5"/>
  <c r="D31" i="5"/>
  <c r="A31" i="5"/>
  <c r="F29" i="5"/>
  <c r="F28" i="5"/>
  <c r="F27" i="5"/>
  <c r="E29" i="5"/>
  <c r="E28" i="5"/>
  <c r="E27" i="5"/>
  <c r="D28" i="5"/>
  <c r="A28" i="5"/>
  <c r="F26" i="5"/>
  <c r="F25" i="5"/>
  <c r="F24" i="5"/>
  <c r="E26" i="5"/>
  <c r="E25" i="5"/>
  <c r="E24" i="5"/>
  <c r="D25" i="5"/>
  <c r="A25" i="5"/>
  <c r="F23" i="5"/>
  <c r="F22" i="5"/>
  <c r="F21" i="5"/>
  <c r="E23" i="5"/>
  <c r="E22" i="5"/>
  <c r="E21" i="5"/>
  <c r="D22" i="5"/>
  <c r="A22" i="5"/>
  <c r="F20" i="5"/>
  <c r="F19" i="5"/>
  <c r="F18" i="5"/>
  <c r="E20" i="5"/>
  <c r="E19" i="5"/>
  <c r="E18" i="5"/>
  <c r="D19" i="5"/>
  <c r="A19" i="5" l="1"/>
  <c r="F17" i="5"/>
  <c r="F16" i="5"/>
  <c r="F15" i="5"/>
  <c r="E17" i="5"/>
  <c r="E16" i="5"/>
  <c r="E15" i="5"/>
  <c r="D16" i="5"/>
  <c r="A16" i="5"/>
  <c r="F14" i="5"/>
  <c r="F13" i="5"/>
  <c r="F12" i="5"/>
  <c r="E14" i="5"/>
  <c r="E13" i="5"/>
  <c r="E12" i="5"/>
  <c r="D13" i="5"/>
  <c r="A13" i="5"/>
  <c r="F11" i="5"/>
  <c r="F10" i="5"/>
  <c r="F9" i="5"/>
  <c r="E11" i="5"/>
  <c r="E10" i="5"/>
  <c r="E9" i="5"/>
  <c r="D10" i="5"/>
  <c r="A10" i="5"/>
  <c r="F8" i="5"/>
  <c r="F7" i="5"/>
  <c r="F6" i="5"/>
  <c r="E8" i="5"/>
  <c r="E7" i="5"/>
  <c r="E6" i="5"/>
  <c r="D7" i="5"/>
  <c r="A7" i="5"/>
  <c r="F26" i="4"/>
  <c r="F25" i="4"/>
  <c r="F24" i="4"/>
  <c r="F19" i="4"/>
  <c r="F5" i="5"/>
  <c r="F4" i="5"/>
  <c r="F3" i="5"/>
  <c r="E5" i="4"/>
  <c r="E5" i="5"/>
  <c r="E4" i="5"/>
  <c r="E3" i="5"/>
  <c r="D4" i="5"/>
  <c r="A4" i="5"/>
  <c r="S3" i="5"/>
  <c r="S3" i="4"/>
  <c r="S3" i="3"/>
  <c r="S3" i="2"/>
  <c r="Q33" i="5"/>
  <c r="Q32" i="5"/>
  <c r="S20" i="5"/>
  <c r="L20" i="5"/>
  <c r="L6" i="5"/>
  <c r="R5" i="5"/>
  <c r="P5" i="5"/>
  <c r="L63" i="1"/>
  <c r="L62" i="1"/>
  <c r="L61" i="1"/>
  <c r="L60" i="1"/>
  <c r="L59" i="1"/>
  <c r="L58" i="1"/>
  <c r="L57" i="1"/>
  <c r="L56" i="1"/>
  <c r="L55" i="1"/>
  <c r="M54" i="1"/>
  <c r="L54" i="1"/>
  <c r="Q33" i="4"/>
  <c r="Q32" i="4"/>
  <c r="Q33" i="3"/>
  <c r="Q32" i="3"/>
  <c r="Q33" i="2"/>
  <c r="Q32" i="2"/>
  <c r="M48" i="1" l="1"/>
  <c r="M49" i="1"/>
  <c r="M50" i="1"/>
  <c r="M35" i="1"/>
  <c r="M36" i="1"/>
  <c r="M37" i="1"/>
  <c r="M23" i="1"/>
  <c r="M24" i="1"/>
  <c r="S20" i="4" l="1"/>
  <c r="L20" i="4"/>
  <c r="S20" i="3"/>
  <c r="L20" i="3"/>
  <c r="S20" i="2"/>
  <c r="L20"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8" i="4"/>
  <c r="E20" i="4"/>
  <c r="E19" i="4"/>
  <c r="E18" i="4"/>
  <c r="D19" i="4"/>
  <c r="A19" i="4"/>
  <c r="F17" i="4"/>
  <c r="F16" i="4"/>
  <c r="F15" i="4"/>
  <c r="E17" i="4"/>
  <c r="E16" i="4"/>
  <c r="E15" i="4"/>
  <c r="D16" i="4"/>
  <c r="A16" i="4"/>
  <c r="F13" i="4"/>
  <c r="F14" i="4"/>
  <c r="F12" i="4"/>
  <c r="E14" i="4"/>
  <c r="E13" i="4"/>
  <c r="E12" i="4"/>
  <c r="D13" i="4"/>
  <c r="A13" i="4"/>
  <c r="A7" i="2" l="1"/>
  <c r="F11" i="4"/>
  <c r="F10" i="4"/>
  <c r="F9" i="4"/>
  <c r="E11" i="4"/>
  <c r="E10" i="4"/>
  <c r="E9" i="4"/>
  <c r="D10" i="4"/>
  <c r="A10" i="4"/>
  <c r="F8" i="4"/>
  <c r="F7" i="4"/>
  <c r="F6" i="4"/>
  <c r="E8" i="4"/>
  <c r="E7" i="4"/>
  <c r="E6" i="4"/>
  <c r="D7" i="4"/>
  <c r="A7" i="4"/>
  <c r="F5" i="4"/>
  <c r="F4" i="4"/>
  <c r="F3" i="4"/>
  <c r="E4" i="4"/>
  <c r="E3" i="4"/>
  <c r="D4" i="4"/>
  <c r="A4" i="4"/>
  <c r="L50" i="1" l="1"/>
  <c r="L49" i="1"/>
  <c r="L48" i="1"/>
  <c r="L47" i="1"/>
  <c r="L46" i="1"/>
  <c r="L45" i="1"/>
  <c r="L44" i="1"/>
  <c r="L43" i="1"/>
  <c r="L42" i="1"/>
  <c r="L41" i="1"/>
  <c r="L6" i="4"/>
  <c r="R5" i="4"/>
  <c r="P5"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5" i="1"/>
  <c r="N15" i="1" s="1"/>
  <c r="L37" i="1"/>
  <c r="L36" i="1"/>
  <c r="L35" i="1"/>
  <c r="L34" i="1"/>
  <c r="L33" i="1"/>
  <c r="L32" i="1"/>
  <c r="L31" i="1"/>
  <c r="L30" i="1"/>
  <c r="L29" i="1"/>
  <c r="L28"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6" i="1"/>
  <c r="E4" i="3"/>
  <c r="E3" i="3"/>
  <c r="D31" i="3"/>
  <c r="D28" i="3"/>
  <c r="D25" i="3"/>
  <c r="D22" i="3"/>
  <c r="D19" i="3"/>
  <c r="D16" i="3"/>
  <c r="D13" i="3"/>
  <c r="D10" i="3"/>
  <c r="D7" i="3"/>
  <c r="D4" i="3"/>
  <c r="A31" i="3"/>
  <c r="A28" i="3"/>
  <c r="A25" i="3"/>
  <c r="A22" i="3"/>
  <c r="A19" i="3"/>
  <c r="A16" i="3"/>
  <c r="A13" i="3"/>
  <c r="A10" i="3"/>
  <c r="A7" i="3"/>
  <c r="A4" i="3"/>
  <c r="L24" i="1"/>
  <c r="L23" i="1"/>
  <c r="L22" i="1"/>
  <c r="L21" i="1"/>
  <c r="L20" i="1"/>
  <c r="L19" i="1"/>
  <c r="L18" i="1"/>
  <c r="L17" i="1"/>
  <c r="L16" i="1"/>
  <c r="L6" i="3"/>
  <c r="R5" i="3"/>
  <c r="P5"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O50" i="1" l="1"/>
  <c r="N50" i="1"/>
  <c r="N61" i="1"/>
  <c r="N60" i="1"/>
  <c r="N59" i="1"/>
  <c r="N63" i="1"/>
  <c r="N58" i="1"/>
  <c r="N62" i="1"/>
  <c r="M63" i="1"/>
  <c r="O63" i="1" s="1"/>
  <c r="M61" i="1"/>
  <c r="O61" i="1" s="1"/>
  <c r="M59" i="1"/>
  <c r="O59" i="1" s="1"/>
  <c r="M62" i="1"/>
  <c r="O62" i="1" s="1"/>
  <c r="M60" i="1"/>
  <c r="O60" i="1" s="1"/>
  <c r="M58" i="1"/>
  <c r="O58" i="1" s="1"/>
  <c r="B7" i="1"/>
  <c r="M46" i="1" s="1"/>
  <c r="O46" i="1" s="1"/>
  <c r="M4" i="5"/>
  <c r="M57" i="1"/>
  <c r="O57" i="1" s="1"/>
  <c r="M55" i="1"/>
  <c r="O55" i="1" s="1"/>
  <c r="M56" i="1"/>
  <c r="O56" i="1"/>
  <c r="N56" i="1"/>
  <c r="N57" i="1"/>
  <c r="N55" i="1"/>
  <c r="O54" i="1"/>
  <c r="N54" i="1"/>
  <c r="M4" i="3"/>
  <c r="M42" i="1"/>
  <c r="O42" i="1" s="1"/>
  <c r="M16" i="1"/>
  <c r="M18" i="1"/>
  <c r="O18" i="1" s="1"/>
  <c r="M17" i="1"/>
  <c r="O17" i="1" s="1"/>
  <c r="O48" i="1"/>
  <c r="O49" i="1"/>
  <c r="N48" i="1"/>
  <c r="N42" i="1"/>
  <c r="N47" i="1"/>
  <c r="N43" i="1"/>
  <c r="N45" i="1"/>
  <c r="N49" i="1"/>
  <c r="N46" i="1"/>
  <c r="N44" i="1"/>
  <c r="N41" i="1"/>
  <c r="M4" i="4"/>
  <c r="M15" i="1"/>
  <c r="O15" i="1" s="1"/>
  <c r="C3" i="2" s="1"/>
  <c r="N31" i="1"/>
  <c r="B4" i="2"/>
  <c r="N18" i="1"/>
  <c r="B14" i="2" s="1"/>
  <c r="O23" i="1"/>
  <c r="C27" i="2" s="1"/>
  <c r="N28" i="1"/>
  <c r="N34" i="1"/>
  <c r="N22" i="1"/>
  <c r="B25" i="2" s="1"/>
  <c r="B3" i="2"/>
  <c r="B5" i="2"/>
  <c r="N17" i="1"/>
  <c r="B11" i="2" s="1"/>
  <c r="N21" i="1"/>
  <c r="B22" i="2" s="1"/>
  <c r="N24" i="1"/>
  <c r="B31" i="2" s="1"/>
  <c r="N35" i="1"/>
  <c r="O37" i="1"/>
  <c r="N37" i="1"/>
  <c r="O24" i="1"/>
  <c r="C31" i="2" s="1"/>
  <c r="N16" i="1"/>
  <c r="B6" i="2" s="1"/>
  <c r="N20" i="1"/>
  <c r="B19" i="2" s="1"/>
  <c r="N29" i="1"/>
  <c r="N32" i="1"/>
  <c r="O16" i="1"/>
  <c r="N19" i="1"/>
  <c r="B17" i="2" s="1"/>
  <c r="N23" i="1"/>
  <c r="B27" i="2" s="1"/>
  <c r="N30" i="1"/>
  <c r="N33" i="1"/>
  <c r="N36" i="1"/>
  <c r="M4" i="2"/>
  <c r="O36" i="1"/>
  <c r="O35" i="1"/>
  <c r="M19" i="1" l="1"/>
  <c r="O19" i="1" s="1"/>
  <c r="C17" i="2" s="1"/>
  <c r="M20" i="1"/>
  <c r="O20" i="1" s="1"/>
  <c r="C18" i="2" s="1"/>
  <c r="M32" i="1"/>
  <c r="O32" i="1" s="1"/>
  <c r="C15" i="3" s="1"/>
  <c r="M21" i="1"/>
  <c r="O21" i="1" s="1"/>
  <c r="C23" i="2" s="1"/>
  <c r="M29" i="1"/>
  <c r="O29" i="1" s="1"/>
  <c r="C7" i="3" s="1"/>
  <c r="M43" i="1"/>
  <c r="O43" i="1" s="1"/>
  <c r="C11" i="4" s="1"/>
  <c r="M28" i="1"/>
  <c r="O28" i="1" s="1"/>
  <c r="C3" i="3" s="1"/>
  <c r="M34" i="1"/>
  <c r="O34" i="1" s="1"/>
  <c r="C23" i="3" s="1"/>
  <c r="M41" i="1"/>
  <c r="O41" i="1" s="1"/>
  <c r="C3" i="4" s="1"/>
  <c r="M30" i="1"/>
  <c r="O30" i="1" s="1"/>
  <c r="C11" i="3" s="1"/>
  <c r="M44" i="1"/>
  <c r="O44" i="1" s="1"/>
  <c r="C13" i="4" s="1"/>
  <c r="M33" i="1"/>
  <c r="O33" i="1" s="1"/>
  <c r="C19" i="3" s="1"/>
  <c r="M22" i="1"/>
  <c r="O22" i="1" s="1"/>
  <c r="C26" i="2" s="1"/>
  <c r="M45" i="1"/>
  <c r="O45" i="1" s="1"/>
  <c r="C15" i="4" s="1"/>
  <c r="M31" i="1"/>
  <c r="O31" i="1" s="1"/>
  <c r="C14" i="3" s="1"/>
  <c r="M47" i="1"/>
  <c r="O47" i="1" s="1"/>
  <c r="C22" i="4" s="1"/>
  <c r="C27" i="5"/>
  <c r="C29" i="5"/>
  <c r="C28" i="5"/>
  <c r="B29" i="5"/>
  <c r="B28" i="5"/>
  <c r="B27" i="5"/>
  <c r="B22" i="5"/>
  <c r="B21" i="5"/>
  <c r="B23" i="5"/>
  <c r="C20" i="5"/>
  <c r="C19" i="5"/>
  <c r="C18" i="5"/>
  <c r="B25" i="5"/>
  <c r="B24" i="5"/>
  <c r="B26" i="5"/>
  <c r="C26" i="5"/>
  <c r="C25" i="5"/>
  <c r="C24" i="5"/>
  <c r="C21" i="5"/>
  <c r="C23" i="5"/>
  <c r="C22" i="5"/>
  <c r="C31" i="5"/>
  <c r="C30" i="5"/>
  <c r="C32" i="5"/>
  <c r="B19" i="5"/>
  <c r="B18" i="5"/>
  <c r="B20" i="5"/>
  <c r="B32" i="5"/>
  <c r="B31" i="5"/>
  <c r="B30" i="5"/>
  <c r="B8" i="5"/>
  <c r="B7" i="5"/>
  <c r="B6" i="5"/>
  <c r="B14" i="5"/>
  <c r="B13" i="5"/>
  <c r="B12" i="5"/>
  <c r="C7" i="5"/>
  <c r="C8" i="5"/>
  <c r="C6" i="5"/>
  <c r="B15" i="5"/>
  <c r="B17" i="5"/>
  <c r="B16" i="5"/>
  <c r="B9" i="5"/>
  <c r="B10" i="5"/>
  <c r="B11" i="5"/>
  <c r="C13" i="5"/>
  <c r="C12" i="5"/>
  <c r="C14" i="5"/>
  <c r="C16" i="5"/>
  <c r="C15" i="5"/>
  <c r="C17" i="5"/>
  <c r="C10" i="5"/>
  <c r="C9" i="5"/>
  <c r="C11" i="5"/>
  <c r="B4" i="5"/>
  <c r="B3" i="5"/>
  <c r="B5" i="5"/>
  <c r="B31" i="4"/>
  <c r="B30" i="4"/>
  <c r="B32" i="4"/>
  <c r="C5" i="5"/>
  <c r="C3" i="5"/>
  <c r="C4" i="5"/>
  <c r="C31" i="4"/>
  <c r="C30" i="4"/>
  <c r="C32" i="4"/>
  <c r="B13" i="4"/>
  <c r="B12" i="4"/>
  <c r="B14" i="4"/>
  <c r="B29" i="4"/>
  <c r="B28" i="4"/>
  <c r="B27" i="4"/>
  <c r="B23" i="4"/>
  <c r="B22" i="4"/>
  <c r="B21" i="4"/>
  <c r="B17" i="4"/>
  <c r="B16" i="4"/>
  <c r="B15" i="4"/>
  <c r="B25" i="4"/>
  <c r="B24" i="4"/>
  <c r="B26" i="4"/>
  <c r="C29" i="4"/>
  <c r="C28" i="4"/>
  <c r="C27" i="4"/>
  <c r="C4" i="2"/>
  <c r="B19" i="4"/>
  <c r="B18" i="4"/>
  <c r="B20" i="4"/>
  <c r="C20" i="4"/>
  <c r="C19" i="4"/>
  <c r="C18" i="4"/>
  <c r="C26" i="4"/>
  <c r="C25" i="4"/>
  <c r="C24" i="4"/>
  <c r="C8" i="4"/>
  <c r="C7" i="4"/>
  <c r="C6" i="4"/>
  <c r="B8" i="4"/>
  <c r="B7" i="4"/>
  <c r="B6" i="4"/>
  <c r="B9" i="4"/>
  <c r="B11" i="4"/>
  <c r="B10" i="4"/>
  <c r="B5" i="4"/>
  <c r="B4" i="4"/>
  <c r="B3" i="4"/>
  <c r="B21" i="3"/>
  <c r="B29" i="3"/>
  <c r="B6" i="3"/>
  <c r="B26" i="3"/>
  <c r="B5" i="3"/>
  <c r="B11" i="3"/>
  <c r="B32" i="3"/>
  <c r="B16" i="3"/>
  <c r="C31" i="3"/>
  <c r="C5" i="2"/>
  <c r="B19" i="3"/>
  <c r="B14" i="3"/>
  <c r="B25" i="3"/>
  <c r="B13" i="3"/>
  <c r="B12" i="3"/>
  <c r="B21" i="2"/>
  <c r="B26" i="2"/>
  <c r="C30" i="3"/>
  <c r="B3" i="3"/>
  <c r="B8" i="2"/>
  <c r="B12" i="2"/>
  <c r="B13" i="2"/>
  <c r="B22" i="3"/>
  <c r="B30" i="3"/>
  <c r="B27" i="3"/>
  <c r="B8" i="3"/>
  <c r="C29" i="2"/>
  <c r="B18" i="3"/>
  <c r="B29" i="2"/>
  <c r="B15" i="2"/>
  <c r="B31" i="3"/>
  <c r="B18" i="2"/>
  <c r="B10" i="3"/>
  <c r="B32" i="2"/>
  <c r="C28" i="2"/>
  <c r="C30" i="2"/>
  <c r="B20" i="2"/>
  <c r="B24" i="3"/>
  <c r="B28" i="3"/>
  <c r="B7" i="3"/>
  <c r="B4" i="3"/>
  <c r="B16" i="2"/>
  <c r="B7" i="2"/>
  <c r="C19" i="2"/>
  <c r="C13" i="2"/>
  <c r="C12" i="2"/>
  <c r="C14" i="2"/>
  <c r="B23" i="3"/>
  <c r="B9" i="2"/>
  <c r="B30" i="2"/>
  <c r="C32" i="2"/>
  <c r="B10" i="2"/>
  <c r="B9" i="3"/>
  <c r="B24" i="2"/>
  <c r="B20" i="3"/>
  <c r="C9" i="2"/>
  <c r="C10" i="2"/>
  <c r="B28" i="2"/>
  <c r="B23" i="2"/>
  <c r="B17" i="3"/>
  <c r="C8" i="2"/>
  <c r="C7" i="2"/>
  <c r="C11" i="2"/>
  <c r="B15" i="3"/>
  <c r="C32" i="3"/>
  <c r="C6" i="2"/>
  <c r="C25" i="3"/>
  <c r="C26" i="3"/>
  <c r="C24" i="3"/>
  <c r="C27" i="3"/>
  <c r="C28" i="3"/>
  <c r="C29" i="3"/>
  <c r="C17" i="3" l="1"/>
  <c r="C20" i="2"/>
  <c r="C16" i="3"/>
  <c r="C24" i="2"/>
  <c r="C16" i="2"/>
  <c r="C21" i="2"/>
  <c r="C15" i="2"/>
  <c r="C22" i="2"/>
  <c r="C6" i="3"/>
  <c r="C25" i="2"/>
  <c r="C4" i="4"/>
  <c r="C5" i="4"/>
  <c r="C20" i="3"/>
  <c r="C21" i="4"/>
  <c r="C10" i="3"/>
  <c r="C18" i="3"/>
  <c r="C8" i="3"/>
  <c r="C16" i="4"/>
  <c r="C9" i="4"/>
  <c r="C10" i="4"/>
  <c r="C17" i="4"/>
  <c r="C5" i="3"/>
  <c r="C13" i="3"/>
  <c r="C12" i="4"/>
  <c r="C14" i="4"/>
  <c r="C21" i="3"/>
  <c r="C22" i="3"/>
  <c r="C23" i="4"/>
  <c r="C12" i="3"/>
  <c r="C9" i="3"/>
  <c r="C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7" authorId="1" shapeId="0" xr:uid="{00000000-0006-0000-0000-000002000000}">
      <text>
        <r>
          <rPr>
            <sz val="8"/>
            <color rgb="FF000000"/>
            <rFont val="Tahoma"/>
            <family val="2"/>
          </rPr>
          <t>Autocalculated based on ACP specified times</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2" authorId="0" shapeId="0" xr:uid="{6F09A1DF-13DF-0541-9E9F-4A78251D3B7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<sst xmlns="http://schemas.openxmlformats.org/spreadsheetml/2006/main" count="467" uniqueCount="133">
  <si>
    <t>Start time</t>
  </si>
  <si>
    <t>Finish time</t>
  </si>
  <si>
    <t>Elapsed time</t>
  </si>
  <si>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</si>
  <si>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</si>
  <si>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</si>
  <si>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</si>
  <si>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</si>
  <si>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</si>
  <si>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</si>
  <si>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</si>
  <si>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</si>
  <si>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</si>
  <si>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</si>
  <si>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</si>
  <si>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</si>
  <si>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</si>
  <si>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</si>
  <si>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</si>
  <si>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</si>
  <si>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</si>
  <si>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</si>
  <si>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</si>
  <si>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</si>
  <si>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</si>
  <si>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</si>
  <si>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</si>
  <si>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</si>
  <si>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</si>
  <si>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t>
  </si>
  <si>
    <t>DIST (km)</t>
  </si>
  <si>
    <t>Establishment</t>
  </si>
  <si>
    <t>Time of Passage</t>
  </si>
  <si>
    <t>Control Card</t>
  </si>
  <si>
    <t>Name</t>
  </si>
  <si>
    <t>Address</t>
  </si>
  <si>
    <t>City</t>
  </si>
  <si>
    <t>Province/State</t>
  </si>
  <si>
    <t>Country</t>
  </si>
  <si>
    <t>Postal Code</t>
  </si>
  <si>
    <t>Telephone</t>
  </si>
  <si>
    <t>email</t>
  </si>
  <si>
    <t>Randonneur Committee Authorization</t>
  </si>
  <si>
    <t>Report results or abandonment through registration email link</t>
  </si>
  <si>
    <t>Start Date</t>
  </si>
  <si>
    <t>Finish Date</t>
  </si>
  <si>
    <t>Member #</t>
  </si>
  <si>
    <t xml:space="preserve">Brevet No. </t>
  </si>
  <si>
    <t>Schedule date:</t>
  </si>
  <si>
    <t>Single</t>
  </si>
  <si>
    <t>Tandem</t>
  </si>
  <si>
    <t>Fixed</t>
  </si>
  <si>
    <t>Recumbent</t>
  </si>
  <si>
    <t>Velomobile</t>
  </si>
  <si>
    <t>(only add if change needed to database)</t>
  </si>
  <si>
    <t>Founding member of LES RANDONNEURS MONDIAUX (1983)</t>
  </si>
  <si>
    <t>Bicycle Type
Circle one</t>
  </si>
  <si>
    <t>-------&gt;</t>
  </si>
  <si>
    <t>Ride Day Emergency Contact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</si>
  <si>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</si>
  <si>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</si>
  <si>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</si>
  <si>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</si>
  <si>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</si>
  <si>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</si>
  <si>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</si>
  <si>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</si>
  <si>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</si>
  <si>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</si>
  <si>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Fill in the control distance.  The opening and closing times will be automatically calculated based on the start time and the brevet distance.  If you need more than 10 controls, use card #2, otherwise leave that section blank.</t>
  </si>
  <si>
    <t>When using information controls, you can put your question in the Signature/Answer section eg Sig/Ans.1 Sign on main door  Sig/Ans. 2  This week's special is?  Sig/Ans. 3 ________________</t>
  </si>
  <si>
    <t>Control Card #1 Information Control Question (optional)</t>
  </si>
  <si>
    <t>Control Card #2 Information Control Question (optional)</t>
  </si>
  <si>
    <t xml:space="preserve">Control Card </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</si>
  <si>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</si>
  <si>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Enter the start time.  This will be the official ACP listed start time found on the event page, unless a ride window has been enabled.</t>
  </si>
  <si>
    <t>Enter the start date.  This will be the same as the schedule date, exceot for pre-rides or unless a ride window has been enabled.</t>
  </si>
  <si>
    <t>Control Card #2</t>
  </si>
  <si>
    <t>Control Card #3 Information Control Question (optional)</t>
  </si>
  <si>
    <t>Control Card #3</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</si>
  <si>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</si>
  <si>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</si>
  <si>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</si>
  <si>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DO NOT DELETE OR MOVE ROWS OR COLUMNS (delete contents of cells only)</t>
  </si>
  <si>
    <t>Fill in the Locale (city) for each control.  Establishment 1, 2, and 3 can be used to describe the control itself eg Locale HOPE  Est.1 Dairy Queen Est.2 817 Water Ave Est. 3 (left blank)</t>
  </si>
  <si>
    <t>Scroll right to see further instructions</t>
  </si>
  <si>
    <t xml:space="preserve">Card Revised:  </t>
  </si>
  <si>
    <t>Control Card #4</t>
  </si>
  <si>
    <t>Control Card #4 Information Control Question (optional)</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</si>
  <si>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</si>
  <si>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SIGN HERE AND RECORD RESULTS ON CARD #1</t>
  </si>
  <si>
    <t>INFORMATION</t>
  </si>
  <si>
    <t>STAFFED</t>
  </si>
  <si>
    <t>SWARTZ BAY</t>
  </si>
  <si>
    <t>SELF CHECK</t>
  </si>
  <si>
    <t>Cove N Spit</t>
  </si>
  <si>
    <t>CENTRAL SAANICH</t>
  </si>
  <si>
    <t>James Island Pier</t>
  </si>
  <si>
    <t>James Island Road</t>
  </si>
  <si>
    <t>Fox and Monocle Cae</t>
  </si>
  <si>
    <t>3 Canoe Cove Rd</t>
  </si>
  <si>
    <t>Which side of building is 3?</t>
  </si>
  <si>
    <t>Left                Right</t>
  </si>
  <si>
    <t>From parking lot</t>
  </si>
  <si>
    <t>VIEW ROYAL</t>
  </si>
  <si>
    <t>Which photo(s) show a cyclist?</t>
  </si>
  <si>
    <t>Galloping Goose Atkins Rd Park</t>
  </si>
  <si>
    <t>Information kiosk, 'Welcome" panel          (facing WC)</t>
  </si>
  <si>
    <t>Left           Middle           Right</t>
  </si>
  <si>
    <t>EAST SOOKE</t>
  </si>
  <si>
    <t xml:space="preserve">Aylard Farm </t>
  </si>
  <si>
    <t>Becher Bay Rd</t>
  </si>
  <si>
    <t>Information sign end far end of parking lot</t>
  </si>
  <si>
    <t>Which photo shows the farm?</t>
  </si>
  <si>
    <t>OTTER POINT</t>
  </si>
  <si>
    <t>Historical marker</t>
  </si>
  <si>
    <t>West Coast Rd nr Otter Point Rd</t>
  </si>
  <si>
    <t>Tugwell /______ Farm?</t>
  </si>
  <si>
    <t>SOOKE</t>
  </si>
  <si>
    <t>Whiffen Spit parking lot</t>
  </si>
  <si>
    <t>Whiffin Spit Rd</t>
  </si>
  <si>
    <t xml:space="preserve">SAANICH </t>
  </si>
  <si>
    <t>GG Trail</t>
  </si>
  <si>
    <t>Trestle over Interurban Rd</t>
  </si>
  <si>
    <t>Sign on right post at start</t>
  </si>
  <si>
    <t>Bottom warning</t>
  </si>
  <si>
    <t>Uneven __________________________?</t>
  </si>
  <si>
    <t>Top       2nd       3rd          Bottom</t>
  </si>
  <si>
    <t xml:space="preserve"> 'No bicycles' sign is ???</t>
  </si>
  <si>
    <t>To right of trail onto Spit</t>
  </si>
  <si>
    <t>Sign by ramp down to water</t>
  </si>
  <si>
    <t xml:space="preserve">Bottom contact </t>
  </si>
  <si>
    <t>Central Saanich 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</si>
</sst>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3"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20"/>
      <color theme="0" tint="-0.249977111117893"/>
      <name val="Impact"/>
      <family val="2"/>
    </font>
    <font>
      <sz val="16"/>
      <color rgb="FFFF0000"/>
      <name val="Arial"/>
      <family val="2"/>
    </font>
    <font>
      <sz val="9"/>
      <name val="Arial"/>
      <family val="2"/>
    </font>
    <font>
      <sz val="11"/>
      <name val="Arial Narrow"/>
      <family val="2"/>
    </font>
  </fonts>
  <fills count="3">
    <fill>
      <patternFill patternType="none"/>
    </fill>
    <fill>
      <patternFill patternType="gray125"/>
    </fill>
    <fill>
      <patternFill patternType="solid">
        <fgColor indexed="22"/>
        <bgColor indexed="64"/>
      </patternFill>
    </fill>
  </fills>
  <borders count="29">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60">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10" fillId="0" borderId="0" xfId="0" applyFont="1" applyProtection="1"/>
    <xf numFmtId="0" fontId="0" fillId="0" borderId="0" xfId="0" applyProtection="1"/>
    <xf numFmtId="0" fontId="0" fillId="0" borderId="20" xfId="0" applyBorder="1" applyProtection="1"/>
    <xf numFmtId="0" fontId="0" fillId="0" borderId="21" xfId="0" applyBorder="1" applyProtection="1"/>
    <xf numFmtId="0" fontId="0" fillId="0" borderId="0" xfId="0" applyBorder="1" applyProtection="1"/>
    <xf numFmtId="0" fontId="0" fillId="0" borderId="17"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Border="1" applyAlignment="1" applyProtection="1">
      <alignment horizontal="right"/>
    </xf>
    <xf numFmtId="0" fontId="10" fillId="0" borderId="0" xfId="0" applyFont="1" applyBorder="1" applyAlignment="1" applyProtection="1">
      <alignment horizontal="left"/>
    </xf>
    <xf numFmtId="0" fontId="10" fillId="0" borderId="0" xfId="0" applyFont="1" applyAlignment="1" applyProtection="1"/>
    <xf numFmtId="0" fontId="5" fillId="2" borderId="3" xfId="0" applyFont="1" applyFill="1" applyBorder="1" applyAlignment="1">
      <alignment horizontal="right"/>
    </xf>
    <xf numFmtId="168" fontId="10" fillId="0" borderId="0" xfId="0" applyNumberFormat="1" applyFont="1" applyBorder="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4" fillId="0" borderId="16" xfId="0" applyFont="1" applyBorder="1" applyAlignment="1">
      <alignment horizontal="center" vertical="top" wrapText="1"/>
    </xf>
    <xf numFmtId="0" fontId="6" fillId="0" borderId="0" xfId="0" applyFont="1" applyBorder="1" applyAlignment="1" applyProtection="1">
      <alignment wrapText="1"/>
    </xf>
    <xf numFmtId="0" fontId="10" fillId="0" borderId="0" xfId="0" applyFont="1" applyBorder="1"/>
    <xf numFmtId="0" fontId="10" fillId="0" borderId="0" xfId="0" applyFont="1" applyBorder="1" applyProtection="1"/>
    <xf numFmtId="168" fontId="10" fillId="0" borderId="0" xfId="0" applyNumberFormat="1" applyFont="1" applyBorder="1" applyAlignment="1">
      <alignment horizontal="center"/>
    </xf>
    <xf numFmtId="0" fontId="10" fillId="0" borderId="0" xfId="0" applyFont="1" applyAlignment="1">
      <alignment horizontal="center"/>
    </xf>
    <xf numFmtId="0" fontId="10" fillId="0" borderId="0" xfId="0" applyFont="1" applyBorder="1" applyAlignment="1">
      <alignment horizontal="center"/>
    </xf>
    <xf numFmtId="18" fontId="23" fillId="0" borderId="0" xfId="0" applyNumberFormat="1" applyFont="1" applyBorder="1" applyAlignment="1">
      <alignment horizontal="center" wrapText="1"/>
    </xf>
    <xf numFmtId="0" fontId="10" fillId="0" borderId="0" xfId="0" applyNumberFormat="1" applyFont="1" applyBorder="1" applyAlignment="1" applyProtection="1">
      <alignment horizontal="left" vertical="center"/>
    </xf>
    <xf numFmtId="169" fontId="10" fillId="0" borderId="0" xfId="0" applyNumberFormat="1" applyFont="1" applyBorder="1" applyAlignment="1" applyProtection="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0" fontId="10" fillId="0" borderId="0" xfId="0" applyFont="1" applyAlignment="1">
      <alignment horizontal="center"/>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NumberFormat="1" applyFont="1" applyBorder="1" applyAlignment="1">
      <alignment horizontal="center" wrapText="1"/>
    </xf>
    <xf numFmtId="0" fontId="9" fillId="0" borderId="0" xfId="0" applyFont="1" applyAlignment="1"/>
    <xf numFmtId="0" fontId="5" fillId="0" borderId="0" xfId="0" applyFont="1"/>
    <xf numFmtId="0" fontId="27" fillId="2" borderId="26" xfId="0" applyFont="1" applyFill="1" applyBorder="1"/>
    <xf numFmtId="0" fontId="0" fillId="2" borderId="27" xfId="0" applyFill="1" applyBorder="1" applyAlignment="1">
      <alignment horizontal="right"/>
    </xf>
    <xf numFmtId="0" fontId="5" fillId="2" borderId="28" xfId="0" applyFont="1" applyFill="1" applyBorder="1" applyAlignment="1">
      <alignment horizontal="right"/>
    </xf>
    <xf numFmtId="0" fontId="6" fillId="0" borderId="0" xfId="0" applyFont="1" applyBorder="1" applyAlignment="1" applyProtection="1">
      <alignment vertical="top" wrapText="1"/>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0" fillId="0" borderId="19" xfId="0" applyBorder="1" applyProtection="1"/>
    <xf numFmtId="0" fontId="0" fillId="0" borderId="6" xfId="0" applyBorder="1" applyProtection="1"/>
    <xf numFmtId="15" fontId="32" fillId="0" borderId="4" xfId="0" applyNumberFormat="1" applyFont="1" applyBorder="1" applyAlignment="1" applyProtection="1">
      <alignment horizontal="center"/>
      <protection locked="0"/>
    </xf>
    <xf numFmtId="0" fontId="31" fillId="2" borderId="28" xfId="0" applyFont="1" applyFill="1" applyBorder="1" applyAlignment="1">
      <alignment horizontal="right"/>
    </xf>
    <xf numFmtId="15" fontId="31" fillId="2" borderId="2" xfId="0" applyNumberFormat="1" applyFont="1" applyFill="1" applyBorder="1" applyAlignment="1">
      <alignment horizontal="left"/>
    </xf>
    <xf numFmtId="0" fontId="31" fillId="0" borderId="0" xfId="0" applyFont="1" applyAlignment="1"/>
    <xf numFmtId="0" fontId="31" fillId="0" borderId="0" xfId="0" applyFont="1"/>
    <xf numFmtId="0" fontId="31" fillId="0" borderId="0" xfId="0" applyFont="1" applyAlignment="1">
      <alignment wrapText="1"/>
    </xf>
    <xf numFmtId="167" fontId="0" fillId="0" borderId="13" xfId="0" applyNumberFormat="1" applyBorder="1" applyProtection="1"/>
    <xf numFmtId="49" fontId="5" fillId="0" borderId="14" xfId="0" quotePrefix="1" applyNumberFormat="1" applyFont="1" applyBorder="1" applyAlignment="1" applyProtection="1">
      <alignment horizontal="center"/>
      <protection locked="0"/>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31" fillId="0" borderId="0" xfId="0" applyFont="1" applyAlignment="1">
      <alignment horizontal="left" vertical="top" wrapText="1"/>
    </xf>
    <xf numFmtId="0" fontId="30"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28" fillId="0" borderId="0" xfId="0" applyFont="1" applyAlignment="1">
      <alignment horizontal="right"/>
    </xf>
    <xf numFmtId="0" fontId="0" fillId="2" borderId="9" xfId="0" applyFill="1" applyBorder="1" applyAlignment="1">
      <alignment horizontal="center"/>
    </xf>
    <xf numFmtId="0" fontId="10" fillId="0" borderId="0" xfId="0" applyFont="1" applyAlignment="1">
      <alignment horizontal="right" vertical="center"/>
    </xf>
    <xf numFmtId="0" fontId="6" fillId="0" borderId="0" xfId="0" applyFont="1" applyBorder="1" applyAlignment="1" applyProtection="1">
      <alignment horizontal="center" wrapText="1"/>
    </xf>
    <xf numFmtId="0" fontId="10" fillId="0" borderId="0" xfId="0" applyFont="1" applyAlignment="1">
      <alignment horizontal="center" vertical="center"/>
    </xf>
    <xf numFmtId="0" fontId="5" fillId="0" borderId="0" xfId="0" applyFont="1" applyBorder="1" applyAlignment="1">
      <alignment horizontal="right" vertical="top"/>
    </xf>
    <xf numFmtId="0" fontId="0" fillId="0" borderId="0" xfId="0" applyBorder="1" applyAlignment="1">
      <alignment horizontal="right"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center" vertical="center" wrapText="1"/>
    </xf>
    <xf numFmtId="0" fontId="10" fillId="0" borderId="5" xfId="0" applyFont="1" applyBorder="1" applyAlignment="1" applyProtection="1">
      <alignment horizontal="left"/>
      <protection locked="0"/>
    </xf>
    <xf numFmtId="0" fontId="12" fillId="0" borderId="18" xfId="0" applyFont="1" applyBorder="1" applyAlignment="1" applyProtection="1">
      <alignment horizontal="left"/>
      <protection locked="0"/>
    </xf>
    <xf numFmtId="168" fontId="10" fillId="0" borderId="0" xfId="0" applyNumberFormat="1" applyFont="1" applyBorder="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5" fillId="0" borderId="22" xfId="0" applyFont="1" applyBorder="1" applyAlignment="1">
      <alignment horizontal="right"/>
    </xf>
    <xf numFmtId="0" fontId="0" fillId="0" borderId="18" xfId="0" applyBorder="1" applyAlignment="1">
      <alignment horizontal="right"/>
    </xf>
    <xf numFmtId="0" fontId="0" fillId="0" borderId="8" xfId="0" applyBorder="1" applyAlignment="1">
      <alignment horizontal="right"/>
    </xf>
    <xf numFmtId="15" fontId="0" fillId="0" borderId="22" xfId="0" applyNumberFormat="1" applyBorder="1" applyAlignment="1">
      <alignment horizontal="left"/>
    </xf>
    <xf numFmtId="0" fontId="0" fillId="0" borderId="18" xfId="0" applyBorder="1" applyAlignment="1">
      <alignment horizontal="left"/>
    </xf>
    <xf numFmtId="0" fontId="0" fillId="0" borderId="8" xfId="0" applyBorder="1" applyAlignment="1">
      <alignment horizontal="left"/>
    </xf>
    <xf numFmtId="0" fontId="10" fillId="0" borderId="18" xfId="0" applyFont="1" applyBorder="1" applyProtection="1">
      <protection locked="0"/>
    </xf>
    <xf numFmtId="168" fontId="10" fillId="0" borderId="18" xfId="0" applyNumberFormat="1" applyFont="1" applyBorder="1" applyAlignment="1" applyProtection="1">
      <alignment horizontal="center"/>
      <protection locked="0"/>
    </xf>
    <xf numFmtId="0" fontId="8" fillId="0" borderId="5" xfId="0" applyFont="1" applyBorder="1" applyAlignment="1" applyProtection="1">
      <alignment horizontal="left"/>
      <protection locked="0"/>
    </xf>
    <xf numFmtId="0" fontId="10" fillId="0" borderId="0" xfId="0" applyFont="1" applyAlignment="1" applyProtection="1">
      <alignment horizontal="right" vertical="center"/>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0" fillId="0" borderId="18" xfId="0" applyBorder="1" applyAlignment="1" applyProtection="1">
      <alignment horizontal="left"/>
      <protection locked="0"/>
    </xf>
    <xf numFmtId="0" fontId="29" fillId="0" borderId="18" xfId="0" applyFont="1" applyBorder="1" applyAlignment="1" applyProtection="1">
      <alignment horizontal="left"/>
      <protection locked="0"/>
    </xf>
    <xf numFmtId="0" fontId="7" fillId="0" borderId="18" xfId="0" applyFont="1" applyFill="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168" fontId="10" fillId="0" borderId="18" xfId="0" applyNumberFormat="1" applyFont="1" applyBorder="1" applyAlignment="1">
      <alignment horizontal="center"/>
    </xf>
    <xf numFmtId="0" fontId="19" fillId="0" borderId="0" xfId="0" applyFont="1" applyBorder="1" applyAlignment="1">
      <alignment horizontal="center"/>
    </xf>
    <xf numFmtId="0" fontId="7" fillId="0" borderId="18" xfId="0" applyFont="1" applyFill="1" applyBorder="1" applyAlignment="1" applyProtection="1">
      <alignment horizontal="left" wrapText="1"/>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15">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5EEAACE2-AD57-BD48-BB33-9A5E9F368AED}"/>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3"/>
  <sheetViews>
    <sheetView showGridLines="0" tabSelected="1" zoomScale="150" zoomScaleNormal="150" zoomScalePageLayoutView="135" workbookViewId="0">
      <selection activeCell="B6" sqref="B6"/>
    </sheetView>
  </sheetViews>
  <sheetFormatPr baseColWidth="10" defaultColWidth="8.83203125" defaultRowHeight="13" x14ac:dyDescent="0.15"/>
  <cols>
    <col min="1" max="1" width="16.5" style="2" customWidth="1"/>
    <col min="2" max="2" width="10.5" bestFit="1" customWidth="1"/>
    <col min="3" max="3" width="8.83203125" style="3" hidden="1" customWidth="1"/>
    <col min="4" max="4" width="8.33203125" customWidth="1"/>
    <col min="5" max="5" width="17" bestFit="1" customWidth="1"/>
    <col min="6" max="6" width="18" bestFit="1" customWidth="1"/>
    <col min="7" max="7" width="23.5" customWidth="1"/>
    <col min="8" max="8" width="25.1640625" bestFit="1" customWidth="1"/>
    <col min="9" max="11" width="31.1640625" customWidth="1"/>
    <col min="12" max="15" width="17.83203125" hidden="1" customWidth="1"/>
  </cols>
  <sheetData>
    <row r="1" spans="1:26" ht="20" customHeight="1" x14ac:dyDescent="0.2">
      <c r="A1" s="116" t="s">
        <v>83</v>
      </c>
      <c r="B1" s="116"/>
      <c r="C1" s="116"/>
      <c r="D1" s="116"/>
      <c r="E1" s="116"/>
      <c r="F1" s="116"/>
      <c r="G1" s="116"/>
      <c r="H1" s="116"/>
      <c r="I1" s="93" t="s">
        <v>85</v>
      </c>
      <c r="Q1" s="115" t="s">
        <v>89</v>
      </c>
      <c r="R1" s="115"/>
      <c r="S1" s="115"/>
      <c r="T1" s="115"/>
      <c r="U1" s="115"/>
      <c r="V1" s="115"/>
      <c r="W1" s="115"/>
      <c r="X1" s="115"/>
      <c r="Y1" s="115"/>
      <c r="Z1" s="115"/>
    </row>
    <row r="2" spans="1:26" ht="13" customHeight="1" thickBot="1" x14ac:dyDescent="0.2">
      <c r="H2" s="94"/>
      <c r="I2" s="94"/>
      <c r="Q2" s="115"/>
      <c r="R2" s="115"/>
      <c r="S2" s="115"/>
      <c r="T2" s="115"/>
      <c r="U2" s="115"/>
      <c r="V2" s="115"/>
      <c r="W2" s="115"/>
      <c r="X2" s="115"/>
      <c r="Y2" s="115"/>
      <c r="Z2" s="115"/>
    </row>
    <row r="3" spans="1:26" s="108" customFormat="1" ht="13" customHeight="1" thickBot="1" x14ac:dyDescent="0.2">
      <c r="A3" s="105" t="s">
        <v>82</v>
      </c>
      <c r="B3" s="106">
        <v>44700</v>
      </c>
      <c r="C3" s="107"/>
      <c r="D3" s="107"/>
      <c r="G3" s="107"/>
      <c r="H3" s="109"/>
      <c r="I3" s="109"/>
      <c r="Q3" s="115"/>
      <c r="R3" s="115"/>
      <c r="S3" s="115"/>
      <c r="T3" s="115"/>
      <c r="U3" s="115"/>
      <c r="V3" s="115"/>
      <c r="W3" s="115"/>
      <c r="X3" s="115"/>
      <c r="Y3" s="115"/>
      <c r="Z3" s="115"/>
    </row>
    <row r="4" spans="1:26" ht="13" customHeight="1" x14ac:dyDescent="0.15">
      <c r="A4" s="90" t="s">
        <v>86</v>
      </c>
      <c r="B4" s="104">
        <v>44840</v>
      </c>
      <c r="C4" s="92"/>
      <c r="D4" s="92"/>
      <c r="G4" s="92"/>
      <c r="H4" s="94"/>
      <c r="I4" s="94"/>
      <c r="Q4" s="115"/>
      <c r="R4" s="115"/>
      <c r="S4" s="115"/>
      <c r="T4" s="115"/>
      <c r="U4" s="115"/>
      <c r="V4" s="115"/>
      <c r="W4" s="115"/>
      <c r="X4" s="115"/>
      <c r="Y4" s="115"/>
      <c r="Z4" s="115"/>
    </row>
    <row r="5" spans="1:26" ht="14" thickBot="1" x14ac:dyDescent="0.2">
      <c r="H5" s="94"/>
      <c r="I5" s="94"/>
      <c r="Q5" s="115"/>
      <c r="R5" s="115"/>
      <c r="S5" s="115"/>
      <c r="T5" s="115"/>
      <c r="U5" s="115"/>
      <c r="V5" s="115"/>
      <c r="W5" s="115"/>
      <c r="X5" s="115"/>
      <c r="Y5" s="115"/>
      <c r="Z5" s="115"/>
    </row>
    <row r="6" spans="1:26" ht="18" x14ac:dyDescent="0.2">
      <c r="A6" s="11" t="s">
        <v>18</v>
      </c>
      <c r="B6" s="69">
        <v>200</v>
      </c>
      <c r="C6">
        <f>IF(Brevet_Length&gt;=1200,Brevet_Length,IF(Brevet_Length&gt;=1000,1000,IF(Brevet_Length&gt;=600,600,IF(Brevet_Length&gt;=400,400,IF(Brevet_Length&gt;=300,300,IF(Brevet_Length&gt;=200,200,100))))))</f>
        <v>200</v>
      </c>
      <c r="J6" s="120" t="s">
        <v>63</v>
      </c>
      <c r="K6" s="120"/>
      <c r="Q6" s="73" t="s">
        <v>64</v>
      </c>
      <c r="R6" s="73"/>
      <c r="S6" s="73"/>
      <c r="T6" s="73"/>
      <c r="U6" s="73"/>
      <c r="V6" s="73"/>
      <c r="W6" s="73"/>
    </row>
    <row r="7" spans="1:26" ht="14" thickBot="1" x14ac:dyDescent="0.2">
      <c r="A7" s="12" t="s">
        <v>19</v>
      </c>
      <c r="B7" s="13">
        <f>IF(brevet=1200,90,IF(brevet=1000,75,IF(brevet=600,40,IF(brevet=400,27,IF(brevet=300,20,IF(brevet=200,13.5,IF(brevet=100,7,0)))))))</f>
        <v>13.5</v>
      </c>
      <c r="Q7" t="s">
        <v>65</v>
      </c>
    </row>
    <row r="8" spans="1:26" ht="19" thickBot="1" x14ac:dyDescent="0.25">
      <c r="A8" s="12" t="s">
        <v>20</v>
      </c>
      <c r="B8" s="117" t="s">
        <v>95</v>
      </c>
      <c r="C8" s="118"/>
      <c r="D8" s="118"/>
      <c r="E8" s="118"/>
      <c r="F8" s="118"/>
      <c r="G8" s="118"/>
      <c r="H8" s="119"/>
      <c r="I8" s="27"/>
      <c r="J8" s="27"/>
      <c r="K8" s="27"/>
      <c r="O8" s="28"/>
      <c r="P8" s="28"/>
      <c r="Q8" s="73" t="s">
        <v>66</v>
      </c>
    </row>
    <row r="9" spans="1:26" ht="18" x14ac:dyDescent="0.2">
      <c r="A9" s="12" t="s">
        <v>21</v>
      </c>
      <c r="B9" s="70">
        <v>5165</v>
      </c>
      <c r="C9" s="24"/>
      <c r="F9" s="25"/>
      <c r="G9" s="25"/>
      <c r="H9" s="25"/>
      <c r="I9" s="25"/>
      <c r="J9" s="25"/>
      <c r="K9" s="25"/>
      <c r="Q9" s="73" t="s">
        <v>67</v>
      </c>
    </row>
    <row r="10" spans="1:26" ht="18" x14ac:dyDescent="0.2">
      <c r="A10" s="48" t="s">
        <v>48</v>
      </c>
      <c r="B10" s="71">
        <v>44842</v>
      </c>
      <c r="Q10" s="73" t="s">
        <v>68</v>
      </c>
    </row>
    <row r="11" spans="1:26" ht="6" customHeight="1" x14ac:dyDescent="0.15">
      <c r="B11" s="95"/>
    </row>
    <row r="12" spans="1:26" ht="18" customHeight="1" thickBot="1" x14ac:dyDescent="0.25">
      <c r="A12" s="89" t="s">
        <v>22</v>
      </c>
      <c r="B12" s="71">
        <v>44842</v>
      </c>
      <c r="Q12" s="73" t="s">
        <v>76</v>
      </c>
    </row>
    <row r="13" spans="1:26" ht="19" thickBot="1" x14ac:dyDescent="0.25">
      <c r="A13" s="10" t="s">
        <v>23</v>
      </c>
      <c r="B13" s="72">
        <v>0.29166666666666669</v>
      </c>
      <c r="D13" s="112" t="s">
        <v>81</v>
      </c>
      <c r="E13" s="113"/>
      <c r="F13" s="113"/>
      <c r="G13" s="113"/>
      <c r="H13" s="113"/>
      <c r="I13" s="121" t="s">
        <v>71</v>
      </c>
      <c r="J13" s="113"/>
      <c r="K13" s="114"/>
      <c r="Q13" s="73" t="s">
        <v>75</v>
      </c>
    </row>
    <row r="14" spans="1:26" ht="14" thickBot="1" x14ac:dyDescent="0.2">
      <c r="D14" s="6" t="s">
        <v>24</v>
      </c>
      <c r="E14" s="7" t="s">
        <v>25</v>
      </c>
      <c r="F14" s="63" t="s">
        <v>26</v>
      </c>
      <c r="G14" s="63" t="s">
        <v>27</v>
      </c>
      <c r="H14" s="64" t="s">
        <v>28</v>
      </c>
      <c r="I14" s="7" t="s">
        <v>60</v>
      </c>
      <c r="J14" s="7" t="s">
        <v>61</v>
      </c>
      <c r="K14" s="8" t="s">
        <v>62</v>
      </c>
      <c r="L14" t="s">
        <v>3</v>
      </c>
      <c r="M14" t="s">
        <v>4</v>
      </c>
      <c r="N14" t="s">
        <v>5</v>
      </c>
      <c r="O14" t="s">
        <v>6</v>
      </c>
      <c r="Q14" s="73" t="s">
        <v>69</v>
      </c>
    </row>
    <row r="15" spans="1:26" ht="17" customHeight="1" x14ac:dyDescent="0.15">
      <c r="C15" s="3" t="s">
        <v>7</v>
      </c>
      <c r="D15" s="110">
        <v>0</v>
      </c>
      <c r="E15" s="75" t="s">
        <v>96</v>
      </c>
      <c r="F15" s="76" t="s">
        <v>92</v>
      </c>
      <c r="G15" s="76" t="s">
        <v>97</v>
      </c>
      <c r="H15" s="77" t="s">
        <v>98</v>
      </c>
      <c r="I15" s="76"/>
      <c r="J15" s="76"/>
      <c r="K15" s="77"/>
      <c r="L15" s="4">
        <f>Start_date+Start_time</f>
        <v>44842.291666666664</v>
      </c>
      <c r="M15" s="4">
        <f>L15+"1:00"</f>
        <v>44842.333333333328</v>
      </c>
      <c r="N15" s="5">
        <f>IF(ISBLANK(Distance),"",Open Control_1)</f>
        <v>44842.291666666664</v>
      </c>
      <c r="O15" s="5">
        <f>IF(ISBLANK(Distance),"",Close Control_1)</f>
        <v>44842.333333333328</v>
      </c>
      <c r="Q15" s="73" t="s">
        <v>84</v>
      </c>
    </row>
    <row r="16" spans="1:26" ht="17" customHeight="1" x14ac:dyDescent="0.15">
      <c r="B16" s="82"/>
      <c r="C16" s="3" t="s">
        <v>8</v>
      </c>
      <c r="D16" s="26">
        <v>26.2</v>
      </c>
      <c r="E16" s="75" t="s">
        <v>93</v>
      </c>
      <c r="F16" s="76" t="s">
        <v>91</v>
      </c>
      <c r="G16" s="76" t="s">
        <v>99</v>
      </c>
      <c r="H16" s="77" t="s">
        <v>100</v>
      </c>
      <c r="I16" s="76" t="s">
        <v>103</v>
      </c>
      <c r="J16" s="76" t="s">
        <v>101</v>
      </c>
      <c r="K16" s="77" t="s">
        <v>102</v>
      </c>
      <c r="L16">
        <f>IF(ISBLANK(Distance),"",IF(Distance&gt;1000,(Distance-1000)/26+33.0847,(IF(Distance&gt;600,(Distance-600)/28+18.799,(IF(Distance&gt;400,(Distance-400)/30+12.1324,(IF(Distance&gt;200,(Distance-200)/32+5.8824,Distance/34))))))))</f>
        <v>0.77058823529411757</v>
      </c>
      <c r="M16">
        <f t="shared" ref="M16:M24" si="0">IF(ISBLANK(Distance),"",IF(Distance&gt;=brevet,IF(brevet&gt;1200,(brevet-1200)*75/1000+90,Max_time),IF(Distance&gt;1200,(Distance-1200)*75/1000+90,IF(Distance&gt;1000,(Distance-1000)/(1000/75)+75,IF(Distance&gt;600,(Distance-600)/(400/35)+40,IF(Distance&lt;=60,(Distance/20+1),Distance/15))))))</f>
        <v>2.31</v>
      </c>
      <c r="N16" s="5">
        <f>IF(ISBLANK(Distance),"",Open_time Control_1+(INT(Open)&amp;":"&amp;IF(ROUND(((Open-INT(Open))*60),0)&lt;10,0,"")&amp;ROUND(((Open-INT(Open))*60),0)))</f>
        <v>44842.323611111111</v>
      </c>
      <c r="O16" s="5">
        <f>IF(ISBLANK(Distance),"",Open_time Control_1+(INT(Close)&amp;":"&amp;IF(ROUND(((Close-INT(Close))*60),0)&lt;10,0,"")&amp;ROUND(((Close-INT(Close))*60),0)))</f>
        <v>44842.388194444444</v>
      </c>
      <c r="Q16" s="73" t="s">
        <v>70</v>
      </c>
    </row>
    <row r="17" spans="2:17" ht="17" customHeight="1" x14ac:dyDescent="0.15">
      <c r="B17" s="82"/>
      <c r="C17" s="3" t="s">
        <v>9</v>
      </c>
      <c r="D17" s="26">
        <v>61.7</v>
      </c>
      <c r="E17" s="75" t="s">
        <v>104</v>
      </c>
      <c r="F17" s="76" t="s">
        <v>91</v>
      </c>
      <c r="G17" s="76" t="s">
        <v>106</v>
      </c>
      <c r="H17" s="77"/>
      <c r="I17" s="76" t="s">
        <v>107</v>
      </c>
      <c r="J17" s="76" t="s">
        <v>105</v>
      </c>
      <c r="K17" s="77" t="s">
        <v>108</v>
      </c>
      <c r="L17">
        <f>IF(ISBLANK(Distance),"",IF(Distance&gt;1000,(Distance-1000)/26+33.0847,(IF(Distance&gt;600,(Distance-600)/28+18.799,(IF(Distance&gt;400,(Distance-400)/30+12.1324,(IF(Distance&gt;200,(Distance-200)/32+5.8824,Distance/34))))))))</f>
        <v>1.8147058823529412</v>
      </c>
      <c r="M17">
        <f t="shared" si="0"/>
        <v>4.1133333333333333</v>
      </c>
      <c r="N17" s="5">
        <f>IF(ISBLANK(Distance),"",Open_time Control_1+(INT(Open)&amp;":"&amp;IF(ROUND(((Open-INT(Open))*60),0)&lt;10,0,"")&amp;ROUND(((Open-INT(Open))*60),0)))</f>
        <v>44842.367361111108</v>
      </c>
      <c r="O17" s="5">
        <f>IF(ISBLANK(Distance),"",Open_time Control_1+(INT(Close)&amp;":"&amp;IF(ROUND(((Close-INT(Close))*60),0)&lt;10,0,"")&amp;ROUND(((Close-INT(Close))*60),0)))</f>
        <v>44842.463194444441</v>
      </c>
    </row>
    <row r="18" spans="2:17" ht="17" customHeight="1" x14ac:dyDescent="0.15">
      <c r="B18" s="82"/>
      <c r="C18" s="3" t="s">
        <v>10</v>
      </c>
      <c r="D18" s="26">
        <v>90.8</v>
      </c>
      <c r="E18" s="75" t="s">
        <v>109</v>
      </c>
      <c r="F18" s="76" t="s">
        <v>91</v>
      </c>
      <c r="G18" s="76" t="s">
        <v>110</v>
      </c>
      <c r="H18" s="77" t="s">
        <v>111</v>
      </c>
      <c r="I18" s="76" t="s">
        <v>112</v>
      </c>
      <c r="J18" s="76" t="s">
        <v>113</v>
      </c>
      <c r="K18" s="77" t="s">
        <v>108</v>
      </c>
      <c r="L18">
        <f t="shared" ref="L18:L24" si="1">IF(ISBLANK(Distance),"",IF(Distance&gt;1000,(Distance-1000)/26+33.0847,(IF(Distance&gt;600,(Distance-600)/28+18.799,(IF(Distance&gt;400,(Distance-400)/30+12.1324,(IF(Distance&gt;200,(Distance-200)/32+5.8824,Distance/34))))))))</f>
        <v>2.6705882352941175</v>
      </c>
      <c r="M18">
        <f t="shared" si="0"/>
        <v>6.0533333333333328</v>
      </c>
      <c r="N18" s="5">
        <f>IF(ISBLANK(Distance),"",Open_time Control_1+(INT(Open)&amp;":"&amp;IF(ROUND(((Open-INT(Open))*60),0)&lt;10,0,"")&amp;ROUND(((Open-INT(Open))*60),0)))</f>
        <v>44842.402777777774</v>
      </c>
      <c r="O18" s="5">
        <f>IF(ISBLANK(Distance),"",Open_time Control_1+(INT(Close)&amp;":"&amp;IF(ROUND(((Close-INT(Close))*60),0)&lt;10,0,"")&amp;ROUND(((Close-INT(Close))*60),0)))</f>
        <v>44842.543749999997</v>
      </c>
    </row>
    <row r="19" spans="2:17" ht="17" customHeight="1" x14ac:dyDescent="0.15">
      <c r="B19" s="82"/>
      <c r="C19" s="3" t="s">
        <v>11</v>
      </c>
      <c r="D19" s="26">
        <v>118.6</v>
      </c>
      <c r="E19" s="75" t="s">
        <v>114</v>
      </c>
      <c r="F19" s="76" t="s">
        <v>91</v>
      </c>
      <c r="G19" s="76" t="s">
        <v>115</v>
      </c>
      <c r="H19" s="77" t="s">
        <v>116</v>
      </c>
      <c r="I19" s="76" t="s">
        <v>117</v>
      </c>
      <c r="J19" s="76"/>
      <c r="K19" s="77"/>
      <c r="L19">
        <f t="shared" si="1"/>
        <v>3.4882352941176471</v>
      </c>
      <c r="M19">
        <f t="shared" si="0"/>
        <v>7.9066666666666663</v>
      </c>
      <c r="N19" s="5">
        <f>IF(ISBLANK(Distance),"",Open_time Control_1+(INT(Open)&amp;":"&amp;IF(ROUND(((Open-INT(Open))*60),0)&lt;10,0,"")&amp;ROUND(((Open-INT(Open))*60),0)))</f>
        <v>44842.436805555553</v>
      </c>
      <c r="O19" s="5">
        <f>IF(ISBLANK(Distance),"",Open_time Control_1+(INT(Close)&amp;":"&amp;IF(ROUND(((Close-INT(Close))*60),0)&lt;10,0,"")&amp;ROUND(((Close-INT(Close))*60),0)))</f>
        <v>44842.620833333334</v>
      </c>
      <c r="Q19" s="87"/>
    </row>
    <row r="20" spans="2:17" ht="17" customHeight="1" x14ac:dyDescent="0.15">
      <c r="B20" s="82"/>
      <c r="C20" s="3" t="s">
        <v>12</v>
      </c>
      <c r="D20" s="26">
        <v>128.80000000000001</v>
      </c>
      <c r="E20" s="75" t="s">
        <v>118</v>
      </c>
      <c r="F20" s="76" t="s">
        <v>91</v>
      </c>
      <c r="G20" s="76" t="s">
        <v>119</v>
      </c>
      <c r="H20" s="77" t="s">
        <v>120</v>
      </c>
      <c r="I20" s="76" t="s">
        <v>129</v>
      </c>
      <c r="J20" s="111" t="s">
        <v>128</v>
      </c>
      <c r="K20" s="77" t="s">
        <v>127</v>
      </c>
      <c r="L20">
        <f t="shared" si="1"/>
        <v>3.7882352941176474</v>
      </c>
      <c r="M20">
        <f t="shared" si="0"/>
        <v>8.5866666666666678</v>
      </c>
      <c r="N20" s="5">
        <f>IF(ISBLANK(Distance),"",Open_time Control_1+(INT(Open)&amp;":"&amp;IF(ROUND(((Open-INT(Open))*60),0)&lt;10,0,"")&amp;ROUND(((Open-INT(Open))*60),0)))</f>
        <v>44842.44930555555</v>
      </c>
      <c r="O20" s="5">
        <f>IF(ISBLANK(Distance),"",Open_time Control_1+(INT(Close)&amp;":"&amp;IF(ROUND(((Close-INT(Close))*60),0)&lt;10,0,"")&amp;ROUND(((Close-INT(Close))*60),0)))</f>
        <v>44842.649305555555</v>
      </c>
    </row>
    <row r="21" spans="2:17" ht="17" customHeight="1" x14ac:dyDescent="0.15">
      <c r="B21" s="82"/>
      <c r="C21" s="3" t="s">
        <v>13</v>
      </c>
      <c r="D21" s="26">
        <v>176</v>
      </c>
      <c r="E21" s="75" t="s">
        <v>121</v>
      </c>
      <c r="F21" s="76" t="s">
        <v>91</v>
      </c>
      <c r="G21" s="76" t="s">
        <v>123</v>
      </c>
      <c r="H21" s="77" t="s">
        <v>122</v>
      </c>
      <c r="I21" s="76" t="s">
        <v>124</v>
      </c>
      <c r="J21" s="76" t="s">
        <v>125</v>
      </c>
      <c r="K21" s="77" t="s">
        <v>126</v>
      </c>
      <c r="L21">
        <f t="shared" si="1"/>
        <v>5.1764705882352944</v>
      </c>
      <c r="M21">
        <f t="shared" si="0"/>
        <v>11.733333333333333</v>
      </c>
      <c r="N21" s="5">
        <f>IF(ISBLANK(Distance),"",Open_time Control_1+(INT(Open)&amp;":"&amp;IF(ROUND(((Open-INT(Open))*60),0)&lt;10,0,"")&amp;ROUND(((Open-INT(Open))*60),0)))</f>
        <v>44842.507638888885</v>
      </c>
      <c r="O21" s="5">
        <f>IF(ISBLANK(Distance),"",Open_time Control_1+(INT(Close)&amp;":"&amp;IF(ROUND(((Close-INT(Close))*60),0)&lt;10,0,"")&amp;ROUND(((Close-INT(Close))*60),0)))</f>
        <v>44842.780555555553</v>
      </c>
    </row>
    <row r="22" spans="2:17" ht="17" customHeight="1" x14ac:dyDescent="0.15">
      <c r="B22" s="82"/>
      <c r="C22" s="3" t="s">
        <v>14</v>
      </c>
      <c r="D22" s="26">
        <v>202</v>
      </c>
      <c r="E22" s="75" t="s">
        <v>96</v>
      </c>
      <c r="F22" s="76" t="s">
        <v>94</v>
      </c>
      <c r="G22" s="76" t="s">
        <v>97</v>
      </c>
      <c r="H22" s="77" t="s">
        <v>98</v>
      </c>
      <c r="I22" s="76"/>
      <c r="J22" s="76"/>
      <c r="K22" s="77"/>
      <c r="L22">
        <f t="shared" si="1"/>
        <v>5.9448999999999996</v>
      </c>
      <c r="M22">
        <f t="shared" si="0"/>
        <v>13.5</v>
      </c>
      <c r="N22" s="5">
        <f>IF(ISBLANK(Distance),"",Open_time Control_1+(INT(Open)&amp;":"&amp;IF(ROUND(((Open-INT(Open))*60),0)&lt;10,0,"")&amp;ROUND(((Open-INT(Open))*60),0)))</f>
        <v>44842.539583333331</v>
      </c>
      <c r="O22" s="5">
        <f>IF(ISBLANK(Distance),"",Open_time Control_1+(INT(Close)&amp;":"&amp;IF(ROUND(((Close-INT(Close))*60),0)&lt;10,0,"")&amp;ROUND(((Close-INT(Close))*60),0)))</f>
        <v>44842.854166666664</v>
      </c>
    </row>
    <row r="23" spans="2:17" ht="17" customHeight="1" x14ac:dyDescent="0.15">
      <c r="B23" s="82"/>
      <c r="C23" s="3" t="s">
        <v>15</v>
      </c>
      <c r="D23" s="26"/>
      <c r="E23" s="75"/>
      <c r="F23" s="76"/>
      <c r="G23" s="76"/>
      <c r="H23" s="77"/>
      <c r="I23" s="76"/>
      <c r="J23" s="76"/>
      <c r="K23" s="77"/>
      <c r="L23" t="str">
        <f t="shared" si="1"/>
        <v/>
      </c>
      <c r="M23" t="str">
        <f t="shared" si="0"/>
        <v/>
      </c>
      <c r="N23" s="5" t="str">
        <f>IF(ISBLANK(Distance),"",Open_time Control_1+(INT(Open)&amp;":"&amp;IF(ROUND(((Open-INT(Open))*60),0)&lt;10,0,"")&amp;ROUND(((Open-INT(Open))*60),0)))</f>
        <v/>
      </c>
      <c r="O23" s="5" t="str">
        <f>IF(ISBLANK(Distance),"",Open_time Control_1+(INT(Close)&amp;":"&amp;IF(ROUND(((Close-INT(Close))*60),0)&lt;10,0,"")&amp;ROUND(((Close-INT(Close))*60),0)))</f>
        <v/>
      </c>
    </row>
    <row r="24" spans="2:17" ht="17" customHeight="1" thickBot="1" x14ac:dyDescent="0.2">
      <c r="B24" s="82"/>
      <c r="C24" s="3" t="s">
        <v>16</v>
      </c>
      <c r="D24" s="52"/>
      <c r="E24" s="78"/>
      <c r="F24" s="79"/>
      <c r="G24" s="79"/>
      <c r="H24" s="80"/>
      <c r="I24" s="79"/>
      <c r="J24" s="79"/>
      <c r="K24" s="80"/>
      <c r="L24" t="str">
        <f t="shared" si="1"/>
        <v/>
      </c>
      <c r="M24" t="str">
        <f t="shared" si="0"/>
        <v/>
      </c>
      <c r="N24" s="5" t="str">
        <f>IF(ISBLANK(Distance),"",Open_time Control_1+(INT(Open)&amp;":"&amp;IF(ROUND(((Open-INT(Open))*60),0)&lt;10,0,"")&amp;ROUND(((Open-INT(Open))*60),0)))</f>
        <v/>
      </c>
      <c r="O24" s="5" t="str">
        <f>IF(ISBLANK(Distance),"",Open_time Control_1+(INT(Close)&amp;":"&amp;IF(ROUND(((Close-INT(Close))*60),0)&lt;10,0,"")&amp;ROUND(((Close-INT(Close))*60),0)))</f>
        <v/>
      </c>
    </row>
    <row r="25" spans="2:17" ht="7" customHeight="1" thickBot="1" x14ac:dyDescent="0.25">
      <c r="D25" s="65"/>
      <c r="E25" s="66"/>
      <c r="F25" s="67"/>
      <c r="G25" s="67"/>
      <c r="H25" s="67"/>
      <c r="I25" s="67"/>
      <c r="J25" s="67"/>
      <c r="K25" s="68"/>
      <c r="N25" s="5"/>
      <c r="O25" s="5"/>
    </row>
    <row r="26" spans="2:17" ht="14" thickBot="1" x14ac:dyDescent="0.2">
      <c r="D26" s="112" t="s">
        <v>77</v>
      </c>
      <c r="E26" s="113"/>
      <c r="F26" s="113"/>
      <c r="G26" s="113"/>
      <c r="H26" s="113"/>
      <c r="I26" s="121" t="s">
        <v>72</v>
      </c>
      <c r="J26" s="113"/>
      <c r="K26" s="114"/>
    </row>
    <row r="27" spans="2:17" ht="14" thickBot="1" x14ac:dyDescent="0.2">
      <c r="D27" s="6" t="s">
        <v>24</v>
      </c>
      <c r="E27" s="7" t="s">
        <v>25</v>
      </c>
      <c r="F27" s="63" t="s">
        <v>26</v>
      </c>
      <c r="G27" s="63" t="s">
        <v>27</v>
      </c>
      <c r="H27" s="64" t="s">
        <v>28</v>
      </c>
      <c r="I27" s="7" t="s">
        <v>60</v>
      </c>
      <c r="J27" s="7" t="s">
        <v>61</v>
      </c>
      <c r="K27" s="8" t="s">
        <v>62</v>
      </c>
      <c r="L27" t="s">
        <v>3</v>
      </c>
      <c r="M27" t="s">
        <v>4</v>
      </c>
      <c r="N27" t="s">
        <v>5</v>
      </c>
      <c r="O27" t="s">
        <v>6</v>
      </c>
    </row>
    <row r="28" spans="2:17" ht="17" customHeight="1" x14ac:dyDescent="0.15">
      <c r="D28" s="26">
        <v>0</v>
      </c>
      <c r="E28" s="75" t="s">
        <v>104</v>
      </c>
      <c r="F28" s="76" t="s">
        <v>92</v>
      </c>
      <c r="G28" s="76" t="s">
        <v>106</v>
      </c>
      <c r="H28" s="77"/>
      <c r="I28" s="76"/>
      <c r="J28" s="76"/>
      <c r="K28" s="77"/>
      <c r="L28">
        <f>IF(ISBLANK(D28),"",IF(D28&gt;1000,(D28-1000)/26+33.0847,(IF(D28&gt;600,(D28-600)/28+18.799,(IF(D28&gt;400,(D28-400)/30+12.1324,(IF(D28&gt;200,(D28-200)/32+5.8824,D28/34))))))))</f>
        <v>0</v>
      </c>
      <c r="M28">
        <f t="shared" ref="M28:M37" si="2">IF(ISBLANK(D28),"",IF((D28=0),1,IF(D28&gt;=brevet,IF(brevet&gt;1200,(brevet-1200)*75/1000+90,Max_time),IF(D28&gt;1200,(D28-1200)*75/1000+90,IF(D28&gt;1000,(D28-1000)/(1000/75)+75,IF(D28&gt;600,(D28-600)/(400/35)+40,IF(D28&lt;=60,D28/20+1,D28/15)))))))</f>
        <v>1</v>
      </c>
      <c r="N28" s="5">
        <f>IF(ISBLANK(D28),"",Open_time Control_1+(INT(L28)&amp;":"&amp;IF(ROUND(((L28-INT(L28))*60),0)&lt;10,0,"")&amp;ROUND(((L28-INT(L28))*60),0)))</f>
        <v>44842.291666666664</v>
      </c>
      <c r="O28" s="5">
        <f>IF(ISBLANK(D28),"",Open_time Control_1+(INT(M28)&amp;":"&amp;IF(ROUND(((M28-INT(M28))*60),0)&lt;10,0,"")&amp;ROUND(((M28-INT(M28))*60),0)))</f>
        <v>44842.333333333328</v>
      </c>
    </row>
    <row r="29" spans="2:17" ht="17" customHeight="1" x14ac:dyDescent="0.15">
      <c r="D29" s="26">
        <v>5.2</v>
      </c>
      <c r="E29" s="75" t="s">
        <v>121</v>
      </c>
      <c r="F29" s="76" t="s">
        <v>91</v>
      </c>
      <c r="G29" s="76" t="s">
        <v>123</v>
      </c>
      <c r="H29" s="77" t="s">
        <v>122</v>
      </c>
      <c r="I29" s="76" t="s">
        <v>124</v>
      </c>
      <c r="J29" s="76" t="s">
        <v>125</v>
      </c>
      <c r="K29" s="77" t="s">
        <v>126</v>
      </c>
      <c r="L29">
        <f t="shared" ref="L29:L37" si="3">IF(ISBLANK(D29),"",IF(D29&gt;1000,(D29-1000)/26+33.0847,(IF(D29&gt;600,(D29-600)/28+18.799,(IF(D29&gt;400,(D29-400)/30+12.1324,(IF(D29&gt;200,(D29-200)/32+5.8824,D29/34))))))))</f>
        <v>0.15294117647058825</v>
      </c>
      <c r="M29">
        <f t="shared" si="2"/>
        <v>1.26</v>
      </c>
      <c r="N29" s="5">
        <f>IF(ISBLANK(D29),"",Open_time Control_1+(INT(L29)&amp;":"&amp;IF(ROUND(((L29-INT(L29))*60),0)&lt;10,0,"")&amp;ROUND(((L29-INT(L29))*60),0)))</f>
        <v>44842.297916666663</v>
      </c>
      <c r="O29" s="5">
        <f>IF(ISBLANK(D29),"",Open_time Control_1+(INT(M29)&amp;":"&amp;IF(ROUND(((M29-INT(M29))*60),0)&lt;10,0,"")&amp;ROUND(((M29-INT(M29))*60),0)))</f>
        <v>44842.344444444439</v>
      </c>
    </row>
    <row r="30" spans="2:17" ht="17" customHeight="1" x14ac:dyDescent="0.15">
      <c r="D30" s="26">
        <v>31.2</v>
      </c>
      <c r="E30" s="75" t="s">
        <v>96</v>
      </c>
      <c r="F30" s="76" t="s">
        <v>91</v>
      </c>
      <c r="G30" s="76" t="s">
        <v>97</v>
      </c>
      <c r="H30" s="77" t="s">
        <v>98</v>
      </c>
      <c r="I30" s="76" t="s">
        <v>130</v>
      </c>
      <c r="J30" s="76" t="s">
        <v>131</v>
      </c>
      <c r="K30" s="77" t="s">
        <v>132</v>
      </c>
      <c r="L30">
        <f t="shared" si="3"/>
        <v>0.91764705882352937</v>
      </c>
      <c r="M30">
        <f t="shared" si="2"/>
        <v>2.56</v>
      </c>
      <c r="N30" s="5">
        <f>IF(ISBLANK(D30),"",Open_time Control_1+(INT(L30)&amp;":"&amp;IF(ROUND(((L30-INT(L30))*60),0)&lt;10,0,"")&amp;ROUND(((L30-INT(L30))*60),0)))</f>
        <v>44842.329861111109</v>
      </c>
      <c r="O30" s="5">
        <f>IF(ISBLANK(D30),"",Open_time Control_1+(INT(M30)&amp;":"&amp;IF(ROUND(((M30-INT(M30))*60),0)&lt;10,0,"")&amp;ROUND(((M30-INT(M30))*60),0)))</f>
        <v>44842.398611111108</v>
      </c>
    </row>
    <row r="31" spans="2:17" ht="17" customHeight="1" x14ac:dyDescent="0.15">
      <c r="D31" s="26">
        <v>57.4</v>
      </c>
      <c r="E31" s="75" t="s">
        <v>93</v>
      </c>
      <c r="F31" s="76" t="s">
        <v>91</v>
      </c>
      <c r="G31" s="76" t="s">
        <v>99</v>
      </c>
      <c r="H31" s="77" t="s">
        <v>100</v>
      </c>
      <c r="I31" s="76" t="s">
        <v>103</v>
      </c>
      <c r="J31" s="76" t="s">
        <v>101</v>
      </c>
      <c r="K31" s="77" t="s">
        <v>102</v>
      </c>
      <c r="L31">
        <f t="shared" si="3"/>
        <v>1.6882352941176471</v>
      </c>
      <c r="M31">
        <f t="shared" si="2"/>
        <v>3.87</v>
      </c>
      <c r="N31" s="5">
        <f>IF(ISBLANK(D31),"",Open_time Control_1+(INT(L31)&amp;":"&amp;IF(ROUND(((L31-INT(L31))*60),0)&lt;10,0,"")&amp;ROUND(((L31-INT(L31))*60),0)))</f>
        <v>44842.361805555556</v>
      </c>
      <c r="O31" s="5">
        <f>IF(ISBLANK(D31),"",Open_time Control_1+(INT(M31)&amp;":"&amp;IF(ROUND(((M31-INT(M31))*60),0)&lt;10,0,"")&amp;ROUND(((M31-INT(M31))*60),0)))</f>
        <v>44842.452777777777</v>
      </c>
    </row>
    <row r="32" spans="2:17" ht="17" customHeight="1" x14ac:dyDescent="0.15">
      <c r="D32" s="26">
        <v>122</v>
      </c>
      <c r="E32" s="75" t="s">
        <v>109</v>
      </c>
      <c r="F32" s="76" t="s">
        <v>91</v>
      </c>
      <c r="G32" s="76" t="s">
        <v>110</v>
      </c>
      <c r="H32" s="77" t="s">
        <v>111</v>
      </c>
      <c r="I32" s="76" t="s">
        <v>112</v>
      </c>
      <c r="J32" s="76" t="s">
        <v>113</v>
      </c>
      <c r="K32" s="77" t="s">
        <v>108</v>
      </c>
      <c r="L32">
        <f t="shared" si="3"/>
        <v>3.5882352941176472</v>
      </c>
      <c r="M32">
        <f t="shared" si="2"/>
        <v>8.1333333333333329</v>
      </c>
      <c r="N32" s="5">
        <f>IF(ISBLANK(D32),"",Open_time Control_1+(INT(L32)&amp;":"&amp;IF(ROUND(((L32-INT(L32))*60),0)&lt;10,0,"")&amp;ROUND(((L32-INT(L32))*60),0)))</f>
        <v>44842.440972222219</v>
      </c>
      <c r="O32" s="5">
        <f>IF(ISBLANK(D32),"",Open_time Control_1+(INT(M32)&amp;":"&amp;IF(ROUND(((M32-INT(M32))*60),0)&lt;10,0,"")&amp;ROUND(((M32-INT(M32))*60),0)))</f>
        <v>44842.630555555552</v>
      </c>
    </row>
    <row r="33" spans="4:15" ht="17" customHeight="1" x14ac:dyDescent="0.15">
      <c r="D33" s="26">
        <v>149.80000000000001</v>
      </c>
      <c r="E33" s="75" t="s">
        <v>114</v>
      </c>
      <c r="F33" s="76" t="s">
        <v>91</v>
      </c>
      <c r="G33" s="76" t="s">
        <v>115</v>
      </c>
      <c r="H33" s="77" t="s">
        <v>116</v>
      </c>
      <c r="I33" s="76" t="s">
        <v>117</v>
      </c>
      <c r="J33" s="76"/>
      <c r="K33" s="77"/>
      <c r="L33">
        <f t="shared" si="3"/>
        <v>4.4058823529411768</v>
      </c>
      <c r="M33">
        <f t="shared" si="2"/>
        <v>9.9866666666666681</v>
      </c>
      <c r="N33" s="5">
        <f>IF(ISBLANK(D33),"",Open_time Control_1+(INT(L33)&amp;":"&amp;IF(ROUND(((L33-INT(L33))*60),0)&lt;10,0,"")&amp;ROUND(((L33-INT(L33))*60),0)))</f>
        <v>44842.474999999999</v>
      </c>
      <c r="O33" s="5">
        <f>IF(ISBLANK(D33),"",Open_time Control_1+(INT(M33)&amp;":"&amp;IF(ROUND(((M33-INT(M33))*60),0)&lt;10,0,"")&amp;ROUND(((M33-INT(M33))*60),0)))</f>
        <v>44842.707638888889</v>
      </c>
    </row>
    <row r="34" spans="4:15" ht="17" customHeight="1" x14ac:dyDescent="0.15">
      <c r="D34" s="26">
        <v>160</v>
      </c>
      <c r="E34" s="75" t="s">
        <v>118</v>
      </c>
      <c r="F34" s="76" t="s">
        <v>91</v>
      </c>
      <c r="G34" s="76" t="s">
        <v>119</v>
      </c>
      <c r="H34" s="77" t="s">
        <v>120</v>
      </c>
      <c r="I34" s="76" t="s">
        <v>129</v>
      </c>
      <c r="J34" s="111" t="s">
        <v>128</v>
      </c>
      <c r="K34" s="77" t="s">
        <v>127</v>
      </c>
      <c r="L34">
        <f t="shared" si="3"/>
        <v>4.7058823529411766</v>
      </c>
      <c r="M34">
        <f t="shared" si="2"/>
        <v>10.666666666666666</v>
      </c>
      <c r="N34" s="5">
        <f>IF(ISBLANK(D34),"",Open_time Control_1+(INT(L34)&amp;":"&amp;IF(ROUND(((L34-INT(L34))*60),0)&lt;10,0,"")&amp;ROUND(((L34-INT(L34))*60),0)))</f>
        <v>44842.487499999996</v>
      </c>
      <c r="O34" s="5">
        <f>IF(ISBLANK(D34),"",Open_time Control_1+(INT(M34)&amp;":"&amp;IF(ROUND(((M34-INT(M34))*60),0)&lt;10,0,"")&amp;ROUND(((M34-INT(M34))*60),0)))</f>
        <v>44842.736111111109</v>
      </c>
    </row>
    <row r="35" spans="4:15" ht="17" customHeight="1" x14ac:dyDescent="0.15">
      <c r="D35" s="26"/>
      <c r="E35" s="75"/>
      <c r="F35" s="76"/>
      <c r="G35" s="76"/>
      <c r="H35" s="77"/>
      <c r="I35" s="76"/>
      <c r="J35" s="76"/>
      <c r="K35" s="77"/>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 customHeight="1" x14ac:dyDescent="0.15">
      <c r="D36" s="26"/>
      <c r="E36" s="75"/>
      <c r="F36" s="76"/>
      <c r="G36" s="76"/>
      <c r="H36" s="77"/>
      <c r="I36" s="76"/>
      <c r="J36" s="76"/>
      <c r="K36" s="77"/>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17" customHeight="1" thickBot="1" x14ac:dyDescent="0.2">
      <c r="D37" s="52"/>
      <c r="E37" s="78"/>
      <c r="F37" s="79"/>
      <c r="G37" s="79"/>
      <c r="H37" s="80"/>
      <c r="I37" s="79"/>
      <c r="J37" s="79"/>
      <c r="K37" s="80"/>
      <c r="L37" t="str">
        <f t="shared" si="3"/>
        <v/>
      </c>
      <c r="M37" t="str">
        <f t="shared" si="2"/>
        <v/>
      </c>
      <c r="N37" s="5" t="str">
        <f>IF(ISBLANK(D37),"",Open_time Control_1+(INT(L37)&amp;":"&amp;IF(ROUND(((L37-INT(L37))*60),0)&lt;10,0,"")&amp;ROUND(((L37-INT(L37))*60),0)))</f>
        <v/>
      </c>
      <c r="O37" s="5" t="str">
        <f>IF(ISBLANK(D37),"",Open_time Control_1+(INT(M37)&amp;":"&amp;IF(ROUND(((M37-INT(M37))*60),0)&lt;10,0,"")&amp;ROUND(((M37-INT(M37))*60),0)))</f>
        <v/>
      </c>
    </row>
    <row r="38" spans="4:15" ht="7" customHeight="1" thickBot="1" x14ac:dyDescent="0.25">
      <c r="D38" s="65"/>
      <c r="E38" s="66"/>
      <c r="F38" s="67"/>
      <c r="G38" s="67"/>
      <c r="H38" s="67"/>
      <c r="I38" s="67"/>
      <c r="J38" s="67"/>
      <c r="K38" s="68"/>
      <c r="N38" s="5"/>
      <c r="O38" s="5"/>
    </row>
    <row r="39" spans="4:15" ht="14" thickBot="1" x14ac:dyDescent="0.2">
      <c r="D39" s="112" t="s">
        <v>79</v>
      </c>
      <c r="E39" s="113"/>
      <c r="F39" s="113"/>
      <c r="G39" s="113"/>
      <c r="H39" s="113"/>
      <c r="I39" s="112" t="s">
        <v>78</v>
      </c>
      <c r="J39" s="113"/>
      <c r="K39" s="114"/>
    </row>
    <row r="40" spans="4:15" ht="14" thickBot="1" x14ac:dyDescent="0.2">
      <c r="D40" s="6" t="s">
        <v>24</v>
      </c>
      <c r="E40" s="7" t="s">
        <v>25</v>
      </c>
      <c r="F40" s="63" t="s">
        <v>26</v>
      </c>
      <c r="G40" s="63" t="s">
        <v>27</v>
      </c>
      <c r="H40" s="88" t="s">
        <v>28</v>
      </c>
      <c r="I40" s="7" t="s">
        <v>60</v>
      </c>
      <c r="J40" s="7" t="s">
        <v>61</v>
      </c>
      <c r="K40" s="8" t="s">
        <v>62</v>
      </c>
      <c r="L40" t="s">
        <v>3</v>
      </c>
      <c r="M40" t="s">
        <v>4</v>
      </c>
      <c r="N40" t="s">
        <v>5</v>
      </c>
      <c r="O40" t="s">
        <v>6</v>
      </c>
    </row>
    <row r="41" spans="4:15" ht="17" customHeight="1" x14ac:dyDescent="0.15">
      <c r="D41" s="26"/>
      <c r="E41" s="75"/>
      <c r="F41" s="76"/>
      <c r="G41" s="76"/>
      <c r="H41" s="77"/>
      <c r="I41" s="76"/>
      <c r="J41" s="76"/>
      <c r="K41" s="77"/>
      <c r="L41" t="str">
        <f>IF(ISBLANK(D41),"",IF(D41&gt;1000,(D41-1000)/26+33.0847,(IF(D41&gt;600,(D41-600)/28+18.799,(IF(D41&gt;400,(D41-400)/30+12.1324,(IF(D41&gt;200,(D41-200)/32+5.8824,D41/34))))))))</f>
        <v/>
      </c>
      <c r="M41" t="str">
        <f t="shared" ref="M41:M50" si="4">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7" customHeight="1" x14ac:dyDescent="0.15">
      <c r="D42" s="26"/>
      <c r="E42" s="75"/>
      <c r="F42" s="76"/>
      <c r="G42" s="76"/>
      <c r="H42" s="77"/>
      <c r="I42" s="76"/>
      <c r="J42" s="76"/>
      <c r="K42" s="77"/>
      <c r="L42" t="str">
        <f t="shared" ref="L42:L50" si="5">IF(ISBLANK(D42),"",IF(D42&gt;1000,(D42-1000)/26+33.0847,(IF(D42&gt;600,(D42-600)/28+18.799,(IF(D42&gt;400,(D42-400)/30+12.1324,(IF(D42&gt;200,(D42-200)/32+5.8824,D42/34))))))))</f>
        <v/>
      </c>
      <c r="M42" t="str">
        <f t="shared" si="4"/>
        <v/>
      </c>
      <c r="N42" s="5" t="str">
        <f>IF(ISBLANK(D42),"",Open_time Control_1+(INT(L42)&amp;":"&amp;IF(ROUND(((L42-INT(L42))*60),0)&lt;10,0,"")&amp;ROUND(((L42-INT(L42))*60),0)))</f>
        <v/>
      </c>
      <c r="O42" s="5" t="str">
        <f>IF(ISBLANK(D42),"",Open_time Control_1+(INT(M42)&amp;":"&amp;IF(ROUND(((M42-INT(M42))*60),0)&lt;10,0,"")&amp;ROUND(((M42-INT(M42))*60),0)))</f>
        <v/>
      </c>
    </row>
    <row r="43" spans="4:15" ht="17" customHeight="1" x14ac:dyDescent="0.15">
      <c r="D43" s="26"/>
      <c r="E43" s="75"/>
      <c r="F43" s="76"/>
      <c r="G43" s="76"/>
      <c r="H43" s="77"/>
      <c r="I43" s="76"/>
      <c r="J43" s="76"/>
      <c r="K43" s="77"/>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7" customHeight="1" x14ac:dyDescent="0.15">
      <c r="D44" s="26"/>
      <c r="E44" s="75"/>
      <c r="F44" s="76"/>
      <c r="G44" s="76"/>
      <c r="H44" s="77"/>
      <c r="I44" s="76"/>
      <c r="J44" s="76"/>
      <c r="K44" s="77"/>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7" customHeight="1" x14ac:dyDescent="0.15">
      <c r="D45" s="26"/>
      <c r="E45" s="75"/>
      <c r="F45" s="76"/>
      <c r="G45" s="76"/>
      <c r="H45" s="77"/>
      <c r="I45" s="76"/>
      <c r="J45" s="76"/>
      <c r="K45" s="77"/>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7" customHeight="1" x14ac:dyDescent="0.15">
      <c r="D46" s="26"/>
      <c r="E46" s="75"/>
      <c r="F46" s="76"/>
      <c r="G46" s="76"/>
      <c r="H46" s="77"/>
      <c r="I46" s="76"/>
      <c r="J46" s="76"/>
      <c r="K46" s="77"/>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7" customHeight="1" x14ac:dyDescent="0.15">
      <c r="D47" s="26"/>
      <c r="E47" s="75"/>
      <c r="F47" s="76"/>
      <c r="G47" s="76"/>
      <c r="H47" s="77"/>
      <c r="I47" s="76"/>
      <c r="J47" s="76"/>
      <c r="K47" s="77"/>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7" customHeight="1" x14ac:dyDescent="0.15">
      <c r="D48" s="26"/>
      <c r="E48" s="75"/>
      <c r="F48" s="76"/>
      <c r="G48" s="76"/>
      <c r="H48" s="77"/>
      <c r="I48" s="76"/>
      <c r="J48" s="76"/>
      <c r="K48" s="77"/>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7" customHeight="1" x14ac:dyDescent="0.15">
      <c r="D49" s="26"/>
      <c r="E49" s="75"/>
      <c r="F49" s="76"/>
      <c r="G49" s="76"/>
      <c r="H49" s="77"/>
      <c r="I49" s="76"/>
      <c r="J49" s="76"/>
      <c r="K49" s="77"/>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row r="50" spans="4:15" ht="17" customHeight="1" thickBot="1" x14ac:dyDescent="0.2">
      <c r="D50" s="52"/>
      <c r="E50" s="78"/>
      <c r="F50" s="79"/>
      <c r="G50" s="79"/>
      <c r="H50" s="80"/>
      <c r="I50" s="79"/>
      <c r="J50" s="79"/>
      <c r="K50" s="80"/>
      <c r="L50" t="str">
        <f t="shared" si="5"/>
        <v/>
      </c>
      <c r="M50" t="str">
        <f t="shared" si="4"/>
        <v/>
      </c>
      <c r="N50" s="5" t="str">
        <f>IF(ISBLANK(D50),"",Open_time Control_1+(INT(L50)&amp;":"&amp;IF(ROUND(((L50-INT(L50))*60),0)&lt;10,0,"")&amp;ROUND(((L50-INT(L50))*60),0)))</f>
        <v/>
      </c>
      <c r="O50" s="5" t="str">
        <f>IF(ISBLANK(D50),"",Open_time Control_1+(INT(M50)&amp;":"&amp;IF(ROUND(((M50-INT(M50))*60),0)&lt;10,0,"")&amp;ROUND(((M50-INT(M50))*60),0)))</f>
        <v/>
      </c>
    </row>
    <row r="51" spans="4:15" ht="7" customHeight="1" thickBot="1" x14ac:dyDescent="0.25">
      <c r="D51" s="65"/>
      <c r="E51" s="66"/>
      <c r="F51" s="67"/>
      <c r="G51" s="67"/>
      <c r="H51" s="67"/>
      <c r="I51" s="67"/>
      <c r="J51" s="67"/>
      <c r="K51" s="68"/>
      <c r="N51" s="5"/>
      <c r="O51" s="5"/>
    </row>
    <row r="52" spans="4:15" ht="14" thickBot="1" x14ac:dyDescent="0.2">
      <c r="D52" s="112" t="s">
        <v>87</v>
      </c>
      <c r="E52" s="113"/>
      <c r="F52" s="113"/>
      <c r="G52" s="113"/>
      <c r="H52" s="113"/>
      <c r="I52" s="112" t="s">
        <v>88</v>
      </c>
      <c r="J52" s="113"/>
      <c r="K52" s="114"/>
    </row>
    <row r="53" spans="4:15" ht="14" thickBot="1" x14ac:dyDescent="0.2">
      <c r="D53" s="6" t="s">
        <v>24</v>
      </c>
      <c r="E53" s="7" t="s">
        <v>25</v>
      </c>
      <c r="F53" s="63" t="s">
        <v>26</v>
      </c>
      <c r="G53" s="63" t="s">
        <v>27</v>
      </c>
      <c r="H53" s="88" t="s">
        <v>28</v>
      </c>
      <c r="I53" s="7" t="s">
        <v>60</v>
      </c>
      <c r="J53" s="7" t="s">
        <v>61</v>
      </c>
      <c r="K53" s="8" t="s">
        <v>62</v>
      </c>
      <c r="L53" t="s">
        <v>3</v>
      </c>
      <c r="M53" t="s">
        <v>4</v>
      </c>
      <c r="N53" t="s">
        <v>5</v>
      </c>
      <c r="O53" t="s">
        <v>6</v>
      </c>
    </row>
    <row r="54" spans="4:15" ht="17" customHeight="1" x14ac:dyDescent="0.15">
      <c r="D54" s="26"/>
      <c r="E54" s="75"/>
      <c r="F54" s="76"/>
      <c r="G54" s="76"/>
      <c r="H54" s="77"/>
      <c r="I54" s="76"/>
      <c r="J54" s="76"/>
      <c r="K54" s="77"/>
      <c r="L54" t="str">
        <f>IF(ISBLANK(D54),"",IF(D54&gt;1000,(D54-1000)/26+33.0847,(IF(D54&gt;600,(D54-600)/28+18.799,(IF(D54&gt;400,(D54-400)/30+12.1324,(IF(D54&gt;200,(D54-200)/32+5.8824,D54/34))))))))</f>
        <v/>
      </c>
      <c r="M54" t="str">
        <f t="shared" ref="M54:M63" si="6">IF(ISBLANK(D54),"",IF((D54=0),1,IF(D54&gt;=brevet,IF(brevet&gt;1200,(brevet-1200)*75/1000+90,Max_time),IF(D54&gt;1200,(D54-1200)*75/1000+90,IF(D54&gt;1000,(D54-1000)/(1000/75)+75,IF(D54&gt;600,(D54-600)/(400/35)+40,IF(D54&lt;=60,D54/20+1,D54/15)))))))</f>
        <v/>
      </c>
      <c r="N54" s="5" t="str">
        <f>IF(ISBLANK(D54),"",Open_time Control_1+(INT(L54)&amp;":"&amp;IF(ROUND(((L54-INT(L54))*60),0)&lt;10,0,"")&amp;ROUND(((L54-INT(L54))*60),0)))</f>
        <v/>
      </c>
      <c r="O54" s="5" t="str">
        <f>IF(ISBLANK(D54),"",Open_time Control_1+(INT(M54)&amp;":"&amp;IF(ROUND(((M54-INT(M54))*60),0)&lt;10,0,"")&amp;ROUND(((M54-INT(M54))*60),0)))</f>
        <v/>
      </c>
    </row>
    <row r="55" spans="4:15" ht="17" customHeight="1" x14ac:dyDescent="0.15">
      <c r="D55" s="26"/>
      <c r="E55" s="75"/>
      <c r="F55" s="76"/>
      <c r="G55" s="76"/>
      <c r="H55" s="77"/>
      <c r="I55" s="76"/>
      <c r="J55" s="76"/>
      <c r="K55" s="77"/>
      <c r="L55" t="str">
        <f t="shared" ref="L55:L63" si="7">IF(ISBLANK(D55),"",IF(D55&gt;1000,(D55-1000)/26+33.0847,(IF(D55&gt;600,(D55-600)/28+18.799,(IF(D55&gt;400,(D55-400)/30+12.1324,(IF(D55&gt;200,(D55-200)/32+5.8824,D55/34))))))))</f>
        <v/>
      </c>
      <c r="M55" t="str">
        <f t="shared" si="6"/>
        <v/>
      </c>
      <c r="N55" s="5" t="str">
        <f>IF(ISBLANK(D55),"",Open_time Control_1+(INT(L55)&amp;":"&amp;IF(ROUND(((L55-INT(L55))*60),0)&lt;10,0,"")&amp;ROUND(((L55-INT(L55))*60),0)))</f>
        <v/>
      </c>
      <c r="O55" s="5" t="str">
        <f>IF(ISBLANK(D55),"",Open_time Control_1+(INT(M55)&amp;":"&amp;IF(ROUND(((M55-INT(M55))*60),0)&lt;10,0,"")&amp;ROUND(((M55-INT(M55))*60),0)))</f>
        <v/>
      </c>
    </row>
    <row r="56" spans="4:15" ht="17" customHeight="1" x14ac:dyDescent="0.15">
      <c r="D56" s="26"/>
      <c r="E56" s="75"/>
      <c r="F56" s="76"/>
      <c r="G56" s="76"/>
      <c r="H56" s="77"/>
      <c r="I56" s="76"/>
      <c r="J56" s="76"/>
      <c r="K56" s="77"/>
      <c r="L56" t="str">
        <f t="shared" si="7"/>
        <v/>
      </c>
      <c r="M56" t="str">
        <f t="shared" si="6"/>
        <v/>
      </c>
      <c r="N56" s="5" t="str">
        <f>IF(ISBLANK(D56),"",Open_time Control_1+(INT(L56)&amp;":"&amp;IF(ROUND(((L56-INT(L56))*60),0)&lt;10,0,"")&amp;ROUND(((L56-INT(L56))*60),0)))</f>
        <v/>
      </c>
      <c r="O56" s="5" t="str">
        <f>IF(ISBLANK(D56),"",Open_time Control_1+(INT(M56)&amp;":"&amp;IF(ROUND(((M56-INT(M56))*60),0)&lt;10,0,"")&amp;ROUND(((M56-INT(M56))*60),0)))</f>
        <v/>
      </c>
    </row>
    <row r="57" spans="4:15" ht="17" customHeight="1" x14ac:dyDescent="0.15">
      <c r="D57" s="26"/>
      <c r="E57" s="75"/>
      <c r="F57" s="76"/>
      <c r="G57" s="76"/>
      <c r="H57" s="77"/>
      <c r="I57" s="76"/>
      <c r="J57" s="76"/>
      <c r="K57" s="77"/>
      <c r="L57" t="str">
        <f t="shared" si="7"/>
        <v/>
      </c>
      <c r="M57" t="str">
        <f t="shared" si="6"/>
        <v/>
      </c>
      <c r="N57" s="5" t="str">
        <f>IF(ISBLANK(D57),"",Open_time Control_1+(INT(L57)&amp;":"&amp;IF(ROUND(((L57-INT(L57))*60),0)&lt;10,0,"")&amp;ROUND(((L57-INT(L57))*60),0)))</f>
        <v/>
      </c>
      <c r="O57" s="5" t="str">
        <f>IF(ISBLANK(D57),"",Open_time Control_1+(INT(M57)&amp;":"&amp;IF(ROUND(((M57-INT(M57))*60),0)&lt;10,0,"")&amp;ROUND(((M57-INT(M57))*60),0)))</f>
        <v/>
      </c>
    </row>
    <row r="58" spans="4:15" ht="17" customHeight="1" x14ac:dyDescent="0.15">
      <c r="D58" s="26"/>
      <c r="E58" s="75"/>
      <c r="F58" s="76"/>
      <c r="G58" s="76"/>
      <c r="H58" s="77"/>
      <c r="I58" s="76"/>
      <c r="J58" s="76"/>
      <c r="K58" s="77"/>
      <c r="L58" t="str">
        <f t="shared" si="7"/>
        <v/>
      </c>
      <c r="M58" t="str">
        <f t="shared" si="6"/>
        <v/>
      </c>
      <c r="N58" s="5" t="str">
        <f>IF(ISBLANK(D58),"",Open_time Control_1+(INT(L58)&amp;":"&amp;IF(ROUND(((L58-INT(L58))*60),0)&lt;10,0,"")&amp;ROUND(((L58-INT(L58))*60),0)))</f>
        <v/>
      </c>
      <c r="O58" s="5" t="str">
        <f>IF(ISBLANK(D58),"",Open_time Control_1+(INT(M58)&amp;":"&amp;IF(ROUND(((M58-INT(M58))*60),0)&lt;10,0,"")&amp;ROUND(((M58-INT(M58))*60),0)))</f>
        <v/>
      </c>
    </row>
    <row r="59" spans="4:15" ht="17" customHeight="1" x14ac:dyDescent="0.15">
      <c r="D59" s="26"/>
      <c r="E59" s="75"/>
      <c r="F59" s="76"/>
      <c r="G59" s="76"/>
      <c r="H59" s="77"/>
      <c r="I59" s="76"/>
      <c r="J59" s="76"/>
      <c r="K59" s="77"/>
      <c r="L59" t="str">
        <f t="shared" si="7"/>
        <v/>
      </c>
      <c r="M59" t="str">
        <f t="shared" si="6"/>
        <v/>
      </c>
      <c r="N59" s="5" t="str">
        <f>IF(ISBLANK(D59),"",Open_time Control_1+(INT(L59)&amp;":"&amp;IF(ROUND(((L59-INT(L59))*60),0)&lt;10,0,"")&amp;ROUND(((L59-INT(L59))*60),0)))</f>
        <v/>
      </c>
      <c r="O59" s="5" t="str">
        <f>IF(ISBLANK(D59),"",Open_time Control_1+(INT(M59)&amp;":"&amp;IF(ROUND(((M59-INT(M59))*60),0)&lt;10,0,"")&amp;ROUND(((M59-INT(M59))*60),0)))</f>
        <v/>
      </c>
    </row>
    <row r="60" spans="4:15" ht="17" customHeight="1" x14ac:dyDescent="0.15">
      <c r="D60" s="26"/>
      <c r="E60" s="75"/>
      <c r="F60" s="76"/>
      <c r="G60" s="76"/>
      <c r="H60" s="77"/>
      <c r="I60" s="76"/>
      <c r="J60" s="76"/>
      <c r="K60" s="77"/>
      <c r="L60" t="str">
        <f t="shared" si="7"/>
        <v/>
      </c>
      <c r="M60" t="str">
        <f t="shared" si="6"/>
        <v/>
      </c>
      <c r="N60" s="5" t="str">
        <f>IF(ISBLANK(D60),"",Open_time Control_1+(INT(L60)&amp;":"&amp;IF(ROUND(((L60-INT(L60))*60),0)&lt;10,0,"")&amp;ROUND(((L60-INT(L60))*60),0)))</f>
        <v/>
      </c>
      <c r="O60" s="5" t="str">
        <f>IF(ISBLANK(D60),"",Open_time Control_1+(INT(M60)&amp;":"&amp;IF(ROUND(((M60-INT(M60))*60),0)&lt;10,0,"")&amp;ROUND(((M60-INT(M60))*60),0)))</f>
        <v/>
      </c>
    </row>
    <row r="61" spans="4:15" ht="17" customHeight="1" x14ac:dyDescent="0.15">
      <c r="D61" s="26"/>
      <c r="E61" s="75"/>
      <c r="F61" s="76"/>
      <c r="G61" s="76"/>
      <c r="H61" s="77"/>
      <c r="I61" s="76"/>
      <c r="J61" s="76"/>
      <c r="K61" s="77"/>
      <c r="L61" t="str">
        <f t="shared" si="7"/>
        <v/>
      </c>
      <c r="M61" t="str">
        <f t="shared" si="6"/>
        <v/>
      </c>
      <c r="N61" s="5" t="str">
        <f>IF(ISBLANK(D61),"",Open_time Control_1+(INT(L61)&amp;":"&amp;IF(ROUND(((L61-INT(L61))*60),0)&lt;10,0,"")&amp;ROUND(((L61-INT(L61))*60),0)))</f>
        <v/>
      </c>
      <c r="O61" s="5" t="str">
        <f>IF(ISBLANK(D61),"",Open_time Control_1+(INT(M61)&amp;":"&amp;IF(ROUND(((M61-INT(M61))*60),0)&lt;10,0,"")&amp;ROUND(((M61-INT(M61))*60),0)))</f>
        <v/>
      </c>
    </row>
    <row r="62" spans="4:15" ht="17" customHeight="1" x14ac:dyDescent="0.15">
      <c r="D62" s="26"/>
      <c r="E62" s="75"/>
      <c r="F62" s="76"/>
      <c r="G62" s="76"/>
      <c r="H62" s="77"/>
      <c r="I62" s="76"/>
      <c r="J62" s="76"/>
      <c r="K62" s="77"/>
      <c r="L62" t="str">
        <f t="shared" si="7"/>
        <v/>
      </c>
      <c r="M62" t="str">
        <f t="shared" si="6"/>
        <v/>
      </c>
      <c r="N62" s="5" t="str">
        <f>IF(ISBLANK(D62),"",Open_time Control_1+(INT(L62)&amp;":"&amp;IF(ROUND(((L62-INT(L62))*60),0)&lt;10,0,"")&amp;ROUND(((L62-INT(L62))*60),0)))</f>
        <v/>
      </c>
      <c r="O62" s="5" t="str">
        <f>IF(ISBLANK(D62),"",Open_time Control_1+(INT(M62)&amp;":"&amp;IF(ROUND(((M62-INT(M62))*60),0)&lt;10,0,"")&amp;ROUND(((M62-INT(M62))*60),0)))</f>
        <v/>
      </c>
    </row>
    <row r="63" spans="4:15" ht="17" customHeight="1" thickBot="1" x14ac:dyDescent="0.2">
      <c r="D63" s="52"/>
      <c r="E63" s="78"/>
      <c r="F63" s="79"/>
      <c r="G63" s="79"/>
      <c r="H63" s="80"/>
      <c r="I63" s="79"/>
      <c r="J63" s="79"/>
      <c r="K63" s="80"/>
      <c r="L63" t="str">
        <f t="shared" si="7"/>
        <v/>
      </c>
      <c r="M63" t="str">
        <f t="shared" si="6"/>
        <v/>
      </c>
      <c r="N63" s="5" t="str">
        <f>IF(ISBLANK(D63),"",Open_time Control_1+(INT(L63)&amp;":"&amp;IF(ROUND(((L63-INT(L63))*60),0)&lt;10,0,"")&amp;ROUND(((L63-INT(L63))*60),0)))</f>
        <v/>
      </c>
      <c r="O63" s="5" t="str">
        <f>IF(ISBLANK(D63),"",Open_time Control_1+(INT(M63)&amp;":"&amp;IF(ROUND(((M63-INT(M63))*60),0)&lt;10,0,"")&amp;ROUND(((M63-INT(M63))*60),0)))</f>
        <v/>
      </c>
    </row>
  </sheetData>
  <sheetProtection algorithmName="SHA-512" hashValue="sz3elNu4T2SGt0gr11IEu+otL/qDj0+cRQOg5grO+EMS3cvX9jEYQhKlOsnmaW3CfXHAQH4v3+PlV9k/s7BEdw==" saltValue="kLgQi0wha9upuDMg+a1WEA==" spinCount="100000" sheet="1" objects="1" scenarios="1" formatCells="0" selectLockedCells="1"/>
  <mergeCells count="12">
    <mergeCell ref="D52:H52"/>
    <mergeCell ref="I52:K52"/>
    <mergeCell ref="Q1:Z5"/>
    <mergeCell ref="A1:H1"/>
    <mergeCell ref="B8:H8"/>
    <mergeCell ref="D39:H39"/>
    <mergeCell ref="I39:K39"/>
    <mergeCell ref="J6:K6"/>
    <mergeCell ref="D13:H13"/>
    <mergeCell ref="D26:H26"/>
    <mergeCell ref="I13:K13"/>
    <mergeCell ref="I26:K26"/>
  </mergeCells>
  <phoneticPr fontId="16"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zoomScaleNormal="100" zoomScalePageLayoutView="92" workbookViewId="0">
      <selection activeCell="F19" sqref="F19"/>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9" t="s">
        <v>80</v>
      </c>
      <c r="B1" s="129"/>
      <c r="C1" s="129"/>
      <c r="D1" s="129"/>
      <c r="E1" s="129"/>
      <c r="F1" s="129"/>
      <c r="G1" s="129"/>
      <c r="H1" s="27" t="s">
        <v>29</v>
      </c>
    </row>
    <row r="2" spans="1:22" ht="33.75" customHeight="1" thickBot="1" x14ac:dyDescent="0.25">
      <c r="A2" s="74" t="s">
        <v>30</v>
      </c>
      <c r="B2" s="9" t="s">
        <v>3</v>
      </c>
      <c r="C2" s="9" t="s">
        <v>4</v>
      </c>
      <c r="D2" s="9" t="s">
        <v>25</v>
      </c>
      <c r="E2" s="9" t="s">
        <v>31</v>
      </c>
      <c r="F2" s="9" t="s">
        <v>59</v>
      </c>
      <c r="G2" s="74" t="s">
        <v>32</v>
      </c>
      <c r="H2" s="27" t="s">
        <v>29</v>
      </c>
      <c r="K2" s="135" t="s">
        <v>55</v>
      </c>
      <c r="L2" s="135"/>
      <c r="M2" s="135"/>
      <c r="N2" s="135"/>
      <c r="O2" s="135"/>
      <c r="P2" s="135"/>
      <c r="Q2" s="135"/>
      <c r="R2" s="135"/>
      <c r="S2" s="135"/>
      <c r="T2" s="135"/>
      <c r="U2" s="135"/>
    </row>
    <row r="3" spans="1:22" ht="36" customHeight="1" x14ac:dyDescent="0.45">
      <c r="A3" s="29"/>
      <c r="B3" s="30">
        <f>Control_1 Open_time</f>
        <v>44842.291666666664</v>
      </c>
      <c r="C3" s="30">
        <f>Control_1 Close_time</f>
        <v>44842.333333333328</v>
      </c>
      <c r="D3" s="31"/>
      <c r="E3" s="32" t="str">
        <f>IF(ISBLANK(Control_1 Establishment_1),"",Control_1 Establishment_1)</f>
        <v>STAFFED</v>
      </c>
      <c r="F3" s="96" t="str">
        <f>IF(ISBLANK('Control Entry'!I15),"",'Control Entry'!I15)</f>
        <v/>
      </c>
      <c r="G3" s="97"/>
      <c r="H3" s="27" t="s">
        <v>29</v>
      </c>
      <c r="K3" s="14"/>
      <c r="O3" s="148" t="s">
        <v>33</v>
      </c>
      <c r="P3" s="148"/>
      <c r="Q3" s="148"/>
      <c r="R3" s="148"/>
      <c r="S3" s="85" t="str">
        <f>IF('Control Entry'!D28=0,"","#1")</f>
        <v/>
      </c>
      <c r="U3" s="42"/>
    </row>
    <row r="4" spans="1:22" ht="36" customHeight="1" x14ac:dyDescent="0.2">
      <c r="A4" s="38">
        <f>IF(ISBLANK(Distance Control_1),"",Control_1 Distance)</f>
        <v>0</v>
      </c>
      <c r="B4" s="39">
        <f>Control_1 Open_time</f>
        <v>44842.291666666664</v>
      </c>
      <c r="C4" s="39">
        <f>Control_1 Close_time</f>
        <v>44842.333333333328</v>
      </c>
      <c r="D4" s="40" t="str">
        <f>IF(ISBLANK(Locale Control_1),"",Locale Control_1)</f>
        <v>CENTRAL SAANICH</v>
      </c>
      <c r="E4" s="32" t="str">
        <f>IF(ISBLANK(Control_1 Establishment_2),"",Control_1 Establishment_2)</f>
        <v>James Island Pier</v>
      </c>
      <c r="F4" s="96" t="str">
        <f>IF(ISBLANK('Control Entry'!J15),"",'Control Entry'!J15)</f>
        <v/>
      </c>
      <c r="G4" s="97"/>
      <c r="H4" s="27" t="s">
        <v>29</v>
      </c>
      <c r="K4" s="14"/>
      <c r="M4" s="131" t="str">
        <f>IF(ISBLANK(brevet),"",brevet&amp;" km Randonnée")</f>
        <v>200 km Randonnée</v>
      </c>
      <c r="N4" s="131"/>
      <c r="O4" s="131"/>
      <c r="P4" s="131"/>
      <c r="Q4" s="131"/>
      <c r="R4" s="131"/>
      <c r="S4" s="131"/>
      <c r="T4" s="131"/>
      <c r="U4" s="43"/>
    </row>
    <row r="5" spans="1:22" ht="36" customHeight="1" thickBot="1" x14ac:dyDescent="0.25">
      <c r="A5" s="33"/>
      <c r="B5" s="34">
        <f>Control_1 Open_time</f>
        <v>44842.291666666664</v>
      </c>
      <c r="C5" s="34">
        <f>Control_1 Close_time</f>
        <v>44842.333333333328</v>
      </c>
      <c r="D5" s="35"/>
      <c r="E5" s="36" t="str">
        <f>IF(ISBLANK(Control_1 Establishment_3),"",Control_1 Establishment_3)</f>
        <v>James Island Road</v>
      </c>
      <c r="F5" s="100" t="str">
        <f>IF(ISBLANK('Control Entry'!K15),"",'Control Entry'!K15)</f>
        <v/>
      </c>
      <c r="G5" s="99"/>
      <c r="H5" s="27" t="s">
        <v>29</v>
      </c>
      <c r="K5" s="14"/>
      <c r="M5" s="15"/>
      <c r="N5" s="146" t="s">
        <v>47</v>
      </c>
      <c r="O5" s="146"/>
      <c r="P5" s="61">
        <f>IF(ISBLANK(Brevet_Number),"",Brevet_Number)</f>
        <v>5165</v>
      </c>
      <c r="Q5" s="62"/>
      <c r="R5" s="134">
        <f>IF(ISBLANK('Control Entry'!$B10),"",'Control Entry'!$B10)</f>
        <v>44842</v>
      </c>
      <c r="S5" s="134"/>
      <c r="T5" s="134"/>
      <c r="U5" s="134"/>
      <c r="V5" s="44"/>
    </row>
    <row r="6" spans="1:22" ht="36" customHeight="1" x14ac:dyDescent="0.2">
      <c r="A6" s="29"/>
      <c r="B6" s="30">
        <f>Control_2 Open_time</f>
        <v>44842.323611111111</v>
      </c>
      <c r="C6" s="30">
        <f>Control_2 Close_time</f>
        <v>44842.388194444444</v>
      </c>
      <c r="D6" s="37"/>
      <c r="E6" s="32" t="str">
        <f>IF(ISBLANK(Control_2 Establishment_1),"",Control_2 Establishment_1)</f>
        <v>INFORMATION</v>
      </c>
      <c r="F6" s="96" t="str">
        <f>IF(ISBLANK('Control Entry'!I16),"",'Control Entry'!I16)</f>
        <v>From parking lot</v>
      </c>
      <c r="G6" s="97"/>
      <c r="H6" s="27" t="s">
        <v>29</v>
      </c>
      <c r="K6" s="14"/>
      <c r="L6" s="151" t="str">
        <f>IF(ISBLANK(Brevet_Description),"",Brevet_Description)</f>
        <v>Cove N Spit</v>
      </c>
      <c r="M6" s="151"/>
      <c r="N6" s="151"/>
      <c r="O6" s="151"/>
      <c r="P6" s="151"/>
      <c r="Q6" s="151"/>
      <c r="R6" s="151"/>
      <c r="S6" s="151"/>
      <c r="T6" s="151"/>
      <c r="U6" s="151"/>
    </row>
    <row r="7" spans="1:22" ht="36" customHeight="1" x14ac:dyDescent="0.2">
      <c r="A7" s="38">
        <f>IF(ISBLANK(Distance Control_2),"",Control_2 Distance)</f>
        <v>26.2</v>
      </c>
      <c r="B7" s="39">
        <f>Control_2 Open_time</f>
        <v>44842.323611111111</v>
      </c>
      <c r="C7" s="39">
        <f>Control_2 Close_time</f>
        <v>44842.388194444444</v>
      </c>
      <c r="D7" s="40" t="str">
        <f>IF(ISBLANK(Locale Control_2),"",Locale Control_2)</f>
        <v>SWARTZ BAY</v>
      </c>
      <c r="E7" s="53" t="str">
        <f>IF(ISBLANK(Control_2 Establishment_2),"",Control_2 Establishment_2)</f>
        <v>Fox and Monocle Cae</v>
      </c>
      <c r="F7" s="98" t="str">
        <f>IF(ISBLANK('Control Entry'!J16),"",'Control Entry'!J16)</f>
        <v>Which side of building is 3?</v>
      </c>
      <c r="G7" s="97"/>
      <c r="H7" s="27" t="s">
        <v>29</v>
      </c>
      <c r="J7" s="84"/>
      <c r="L7" s="84"/>
    </row>
    <row r="8" spans="1:22" ht="36" customHeight="1" thickBot="1" x14ac:dyDescent="0.25">
      <c r="A8" s="33"/>
      <c r="B8" s="34">
        <f>Control_2 Open_time</f>
        <v>44842.323611111111</v>
      </c>
      <c r="C8" s="34">
        <f>Control_2 Close_time</f>
        <v>44842.388194444444</v>
      </c>
      <c r="D8" s="35"/>
      <c r="E8" s="83" t="str">
        <f>IF(ISBLANK(Control_2 Establishment_3),"",Control_2 Establishment_3)</f>
        <v>3 Canoe Cove Rd</v>
      </c>
      <c r="F8" s="100" t="str">
        <f>IF(ISBLANK('Control Entry'!K16),"",'Control Entry'!K16)</f>
        <v>Left                Right</v>
      </c>
      <c r="G8" s="99"/>
      <c r="H8" s="27" t="s">
        <v>29</v>
      </c>
      <c r="J8" s="15" t="s">
        <v>34</v>
      </c>
      <c r="L8" s="136"/>
      <c r="M8" s="136"/>
      <c r="N8" s="136"/>
      <c r="O8" s="136"/>
      <c r="P8" s="136"/>
      <c r="Q8" s="136"/>
      <c r="R8" s="28"/>
      <c r="S8" s="45" t="s">
        <v>46</v>
      </c>
      <c r="T8" s="143"/>
      <c r="U8" s="143"/>
    </row>
    <row r="9" spans="1:22" ht="36" customHeight="1" thickBot="1" x14ac:dyDescent="0.3">
      <c r="A9" s="29"/>
      <c r="B9" s="30">
        <f>Control_3 Open_time</f>
        <v>44842.367361111108</v>
      </c>
      <c r="C9" s="30">
        <f>Control_3 Close_time</f>
        <v>44842.463194444441</v>
      </c>
      <c r="D9" s="37"/>
      <c r="E9" s="32" t="str">
        <f>IF(ISBLANK(Control_3 Establishment_1),"",Control_3 Establishment_1)</f>
        <v>INFORMATION</v>
      </c>
      <c r="F9" s="96" t="str">
        <f>IF(ISBLANK('Control Entry'!I17),"",'Control Entry'!I17)</f>
        <v>Information kiosk, 'Welcome" panel          (facing WC)</v>
      </c>
      <c r="G9" s="97"/>
      <c r="H9" s="27" t="s">
        <v>29</v>
      </c>
      <c r="J9" s="15" t="s">
        <v>35</v>
      </c>
      <c r="K9" s="15"/>
      <c r="L9" s="153" t="s">
        <v>54</v>
      </c>
      <c r="M9" s="153"/>
      <c r="N9" s="153"/>
      <c r="O9" s="153"/>
      <c r="P9" s="153"/>
      <c r="Q9" s="153"/>
      <c r="R9" s="153"/>
      <c r="S9" s="153"/>
      <c r="T9" s="153"/>
      <c r="U9" s="153"/>
    </row>
    <row r="10" spans="1:22" ht="36" customHeight="1" thickBot="1" x14ac:dyDescent="0.3">
      <c r="A10" s="38">
        <f>IF(ISBLANK(Distance Control_3),"",Control_3 Distance)</f>
        <v>61.7</v>
      </c>
      <c r="B10" s="39">
        <f>Control_3 Open_time</f>
        <v>44842.367361111108</v>
      </c>
      <c r="C10" s="39">
        <f>Control_3 Close_time</f>
        <v>44842.463194444441</v>
      </c>
      <c r="D10" s="40" t="str">
        <f>IF(ISBLANK(Locale Control_3),"",Locale Control_3)</f>
        <v>VIEW ROYAL</v>
      </c>
      <c r="E10" s="32" t="str">
        <f>IF(ISBLANK(Control_3 Establishment_2),"",Control_3 Establishment_2)</f>
        <v>Galloping Goose Atkins Rd Park</v>
      </c>
      <c r="F10" s="98" t="str">
        <f>IF(ISBLANK('Control Entry'!J17),"",'Control Entry'!J17)</f>
        <v>Which photo(s) show a cyclist?</v>
      </c>
      <c r="G10" s="97"/>
      <c r="H10" s="27" t="s">
        <v>29</v>
      </c>
      <c r="J10" s="15"/>
      <c r="K10" s="15"/>
      <c r="L10" s="145"/>
      <c r="M10" s="145"/>
      <c r="N10" s="145"/>
      <c r="O10" s="145"/>
      <c r="P10" s="145"/>
      <c r="Q10" s="145"/>
      <c r="R10" s="145"/>
      <c r="S10" s="145"/>
      <c r="T10" s="145"/>
      <c r="U10" s="145"/>
    </row>
    <row r="11" spans="1:22" ht="36" customHeight="1" thickBot="1" x14ac:dyDescent="0.3">
      <c r="A11" s="33"/>
      <c r="B11" s="34">
        <f>Control_3 Open_time</f>
        <v>44842.367361111108</v>
      </c>
      <c r="C11" s="34">
        <f>Control_3 Close_time</f>
        <v>44842.463194444441</v>
      </c>
      <c r="D11" s="35"/>
      <c r="E11" s="36" t="str">
        <f>IF(ISBLANK(Control_3 Establishment_3),"",Control_3 Establishment_3)</f>
        <v/>
      </c>
      <c r="F11" s="100" t="str">
        <f>IF(ISBLANK('Control Entry'!K17),"",'Control Entry'!K17)</f>
        <v>Left           Middle           Right</v>
      </c>
      <c r="G11" s="99"/>
      <c r="H11" s="27" t="s">
        <v>29</v>
      </c>
      <c r="J11" s="15" t="s">
        <v>36</v>
      </c>
      <c r="K11" s="15"/>
      <c r="L11" s="145"/>
      <c r="M11" s="145"/>
      <c r="N11" s="145"/>
      <c r="O11" s="18"/>
      <c r="P11" s="18" t="s">
        <v>37</v>
      </c>
      <c r="Q11" s="18"/>
      <c r="R11" s="18"/>
      <c r="S11" s="132"/>
      <c r="T11" s="132"/>
      <c r="U11" s="132"/>
    </row>
    <row r="12" spans="1:22" ht="36" customHeight="1" thickBot="1" x14ac:dyDescent="0.3">
      <c r="A12" s="29"/>
      <c r="B12" s="30">
        <f>Control_4 Open_time</f>
        <v>44842.402777777774</v>
      </c>
      <c r="C12" s="30">
        <f>Control_4 Close_time</f>
        <v>44842.543749999997</v>
      </c>
      <c r="D12" s="37"/>
      <c r="E12" s="32" t="str">
        <f>IF(ISBLANK(Control_4 Establishment_1),"",Control_4 Establishment_1)</f>
        <v>INFORMATION</v>
      </c>
      <c r="F12" s="96" t="str">
        <f>IF(ISBLANK('Control Entry'!I18),"",'Control Entry'!I18)</f>
        <v>Information sign end far end of parking lot</v>
      </c>
      <c r="G12" s="97"/>
      <c r="H12" s="27" t="s">
        <v>29</v>
      </c>
      <c r="J12" s="15" t="s">
        <v>38</v>
      </c>
      <c r="K12" s="15"/>
      <c r="L12" s="145"/>
      <c r="M12" s="145"/>
      <c r="N12" s="145"/>
      <c r="O12" s="18"/>
      <c r="P12" s="18" t="s">
        <v>39</v>
      </c>
      <c r="Q12" s="18"/>
      <c r="R12" s="18"/>
      <c r="S12" s="132"/>
      <c r="T12" s="132"/>
      <c r="U12" s="132"/>
    </row>
    <row r="13" spans="1:22" ht="36" customHeight="1" thickBot="1" x14ac:dyDescent="0.3">
      <c r="A13" s="38">
        <f>IF(ISBLANK(Distance Control_4),"",Control_4 Distance)</f>
        <v>90.8</v>
      </c>
      <c r="B13" s="39">
        <f>Control_4 Open_time</f>
        <v>44842.402777777774</v>
      </c>
      <c r="C13" s="39">
        <f>Control_4 Close_time</f>
        <v>44842.543749999997</v>
      </c>
      <c r="D13" s="40" t="str">
        <f>IF(ISBLANK(Locale Control_4),"",Locale Control_4)</f>
        <v>EAST SOOKE</v>
      </c>
      <c r="E13" s="32" t="str">
        <f>IF(ISBLANK(Control_4 Establishment_2),"",Control_4 Establishment_2)</f>
        <v xml:space="preserve">Aylard Farm </v>
      </c>
      <c r="F13" s="98" t="str">
        <f>IF(ISBLANK('Control Entry'!J18),"",'Control Entry'!J18)</f>
        <v>Which photo shows the farm?</v>
      </c>
      <c r="G13" s="97"/>
      <c r="H13" s="27" t="s">
        <v>29</v>
      </c>
      <c r="J13" s="15" t="s">
        <v>40</v>
      </c>
      <c r="L13" s="156"/>
      <c r="M13" s="156"/>
      <c r="N13" s="156"/>
      <c r="O13" s="19"/>
      <c r="P13" s="18" t="s">
        <v>41</v>
      </c>
      <c r="Q13" s="18"/>
      <c r="R13" s="133"/>
      <c r="S13" s="133"/>
      <c r="T13" s="133"/>
      <c r="U13" s="133"/>
    </row>
    <row r="14" spans="1:22" ht="36" customHeight="1" thickBot="1" x14ac:dyDescent="0.25">
      <c r="A14" s="33"/>
      <c r="B14" s="34">
        <f>Control_4 Open_time</f>
        <v>44842.402777777774</v>
      </c>
      <c r="C14" s="34">
        <f>Control_4 Close_time</f>
        <v>44842.543749999997</v>
      </c>
      <c r="D14" s="35"/>
      <c r="E14" s="36" t="str">
        <f>IF(ISBLANK(Control_4 Establishment_3),"",Control_4 Establishment_3)</f>
        <v>Becher Bay Rd</v>
      </c>
      <c r="F14" s="100" t="str">
        <f>IF(ISBLANK('Control Entry'!K18),"",'Control Entry'!K18)</f>
        <v>Left           Middle           Right</v>
      </c>
      <c r="G14" s="99"/>
      <c r="H14" s="27" t="s">
        <v>29</v>
      </c>
    </row>
    <row r="15" spans="1:22" ht="36" customHeight="1" x14ac:dyDescent="0.2">
      <c r="A15" s="29"/>
      <c r="B15" s="30">
        <f>Control_5 Open_time</f>
        <v>44842.436805555553</v>
      </c>
      <c r="C15" s="30">
        <f>Control_5 Close_time</f>
        <v>44842.620833333334</v>
      </c>
      <c r="D15" s="37"/>
      <c r="E15" s="32" t="str">
        <f>IF(ISBLANK(Control_5 Establishment_1),"",Control_5 Establishment_1)</f>
        <v>INFORMATION</v>
      </c>
      <c r="F15" s="96" t="str">
        <f>IF(ISBLANK('Control Entry'!I19),"",'Control Entry'!I19)</f>
        <v>Tugwell /______ Farm?</v>
      </c>
      <c r="G15" s="97"/>
      <c r="H15" s="27" t="s">
        <v>29</v>
      </c>
      <c r="J15" s="15"/>
      <c r="L15" s="150" t="s">
        <v>58</v>
      </c>
      <c r="M15" s="150"/>
      <c r="N15" s="150"/>
      <c r="O15" s="150"/>
      <c r="P15" s="150"/>
      <c r="Q15" s="150"/>
      <c r="R15" s="150"/>
      <c r="S15" s="150"/>
      <c r="T15" s="150"/>
      <c r="U15" s="150"/>
    </row>
    <row r="16" spans="1:22" ht="36" customHeight="1" thickBot="1" x14ac:dyDescent="0.25">
      <c r="A16" s="38">
        <f>IF(ISBLANK(Distance Control_5),"",Control_5 Distance)</f>
        <v>118.6</v>
      </c>
      <c r="B16" s="39">
        <f>Control_5 Open_time</f>
        <v>44842.436805555553</v>
      </c>
      <c r="C16" s="39">
        <f>Control_5 Close_time</f>
        <v>44842.620833333334</v>
      </c>
      <c r="D16" s="40" t="str">
        <f>IF(ISBLANK(Locale Control_5),"",Locale Control_5)</f>
        <v>OTTER POINT</v>
      </c>
      <c r="E16" s="32" t="str">
        <f>IF(ISBLANK(Control_5 Establishment_2),"",Control_5 Establishment_2)</f>
        <v>Historical marker</v>
      </c>
      <c r="F16" s="96" t="str">
        <f>IF(ISBLANK('Control Entry'!J19),"",'Control Entry'!J19)</f>
        <v/>
      </c>
      <c r="G16" s="97"/>
      <c r="H16" s="27" t="s">
        <v>29</v>
      </c>
      <c r="L16" s="154"/>
      <c r="M16" s="154"/>
      <c r="N16" s="154"/>
      <c r="O16" s="154"/>
      <c r="P16" s="154"/>
      <c r="Q16" s="154"/>
      <c r="R16" s="154"/>
      <c r="S16" s="154"/>
      <c r="T16" s="154"/>
      <c r="U16" s="154"/>
    </row>
    <row r="17" spans="1:22" ht="36" customHeight="1" thickBot="1" x14ac:dyDescent="0.25">
      <c r="A17" s="33"/>
      <c r="B17" s="34">
        <f>Control_5 Open_time</f>
        <v>44842.436805555553</v>
      </c>
      <c r="C17" s="34">
        <f>Control_5 Close_time</f>
        <v>44842.620833333334</v>
      </c>
      <c r="D17" s="35"/>
      <c r="E17" s="36" t="str">
        <f>IF(ISBLANK(Control_5 Establishment_3),"",Control_5 Establishment_3)</f>
        <v>West Coast Rd nr Otter Point Rd</v>
      </c>
      <c r="F17" s="100" t="str">
        <f>IF(ISBLANK('Control Entry'!K19),"",'Control Entry'!K19)</f>
        <v/>
      </c>
      <c r="G17" s="99"/>
      <c r="H17" s="27" t="s">
        <v>29</v>
      </c>
    </row>
    <row r="18" spans="1:22" ht="36" customHeight="1" x14ac:dyDescent="0.2">
      <c r="A18" s="29"/>
      <c r="B18" s="30">
        <f>Control_6 Open_time</f>
        <v>44842.44930555555</v>
      </c>
      <c r="C18" s="30">
        <f>Control_6 Close_time</f>
        <v>44842.649305555555</v>
      </c>
      <c r="D18" s="37"/>
      <c r="E18" s="32" t="str">
        <f>IF(ISBLANK(Control_6 Establishment_1),"",Control_6 Establishment_1)</f>
        <v>INFORMATION</v>
      </c>
      <c r="F18" s="96" t="str">
        <f>IF(ISBLANK('Control Entry'!I20),"",'Control Entry'!I20)</f>
        <v>To right of trail onto Spit</v>
      </c>
      <c r="G18" s="97"/>
      <c r="H18" s="27" t="s">
        <v>29</v>
      </c>
    </row>
    <row r="19" spans="1:22" ht="36" customHeight="1" x14ac:dyDescent="0.2">
      <c r="A19" s="38">
        <f>IF(ISBLANK(Distance Control_6),"",Control_6 Distance)</f>
        <v>128.80000000000001</v>
      </c>
      <c r="B19" s="39">
        <f>Control_6 Open_time</f>
        <v>44842.44930555555</v>
      </c>
      <c r="C19" s="39">
        <f>Control_6 Close_time</f>
        <v>44842.649305555555</v>
      </c>
      <c r="D19" s="40" t="str">
        <f>IF(ISBLANK(Locale Control_6),"",Locale Control_6)</f>
        <v>SOOKE</v>
      </c>
      <c r="E19" s="32" t="str">
        <f>IF(ISBLANK(Control_6 Establishment_2),"",Control_6 Establishment_2)</f>
        <v>Whiffen Spit parking lot</v>
      </c>
      <c r="F19" s="98" t="str">
        <f>IF(ISBLANK('Control Entry'!J20),"",'Control Entry'!J20)</f>
        <v xml:space="preserve"> 'No bicycles' sign is ???</v>
      </c>
      <c r="G19" s="97"/>
      <c r="H19" s="27" t="s">
        <v>29</v>
      </c>
    </row>
    <row r="20" spans="1:22" ht="36" customHeight="1" thickBot="1" x14ac:dyDescent="0.25">
      <c r="A20" s="33"/>
      <c r="B20" s="34">
        <f>Control_6 Open_time</f>
        <v>44842.44930555555</v>
      </c>
      <c r="C20" s="34">
        <f>Control_6 Close_time</f>
        <v>44842.649305555555</v>
      </c>
      <c r="D20" s="35"/>
      <c r="E20" s="36" t="str">
        <f>IF(ISBLANK(Control_6 Establishment_3),"",Control_6 Establishment_3)</f>
        <v>Whiffin Spit Rd</v>
      </c>
      <c r="F20" s="100" t="str">
        <f>IF(ISBLANK('Control Entry'!K20),"",'Control Entry'!K20)</f>
        <v>Top       2nd       3rd          Bottom</v>
      </c>
      <c r="G20" s="99"/>
      <c r="H20" s="27" t="s">
        <v>29</v>
      </c>
      <c r="J20" s="59" t="s">
        <v>44</v>
      </c>
      <c r="K20" s="59"/>
      <c r="L20" s="144">
        <f>IF(ISBLANK('Control Entry'!B12),"",'Control Entry'!B12)</f>
        <v>44842</v>
      </c>
      <c r="M20" s="144"/>
      <c r="N20" s="144"/>
      <c r="P20" s="18" t="s">
        <v>0</v>
      </c>
      <c r="Q20" s="18"/>
      <c r="S20" s="149">
        <f>IF(ISBLANK('Control Entry'!B13),"",'Control Entry'!B13)</f>
        <v>0.29166666666666669</v>
      </c>
      <c r="T20" s="149"/>
      <c r="U20" s="149"/>
    </row>
    <row r="21" spans="1:22" ht="36" customHeight="1" x14ac:dyDescent="0.2">
      <c r="A21" s="29"/>
      <c r="B21" s="30">
        <f>Control_7 Open_time</f>
        <v>44842.507638888885</v>
      </c>
      <c r="C21" s="30">
        <f>Control_7 Close_time</f>
        <v>44842.780555555553</v>
      </c>
      <c r="D21" s="37"/>
      <c r="E21" s="32" t="str">
        <f>IF(ISBLANK(Control_7 Establishment_1),"",Control_7 Establishment_1)</f>
        <v>INFORMATION</v>
      </c>
      <c r="F21" s="96" t="str">
        <f>IF(ISBLANK('Control Entry'!I21),"",'Control Entry'!I21)</f>
        <v>Sign on right post at start</v>
      </c>
      <c r="G21" s="97"/>
      <c r="H21" s="27" t="s">
        <v>29</v>
      </c>
      <c r="J21" s="59"/>
      <c r="K21" s="59"/>
      <c r="L21" s="57"/>
      <c r="M21" s="57"/>
      <c r="N21" s="57"/>
      <c r="P21" s="18"/>
      <c r="Q21" s="18"/>
      <c r="R21" s="22"/>
      <c r="S21" s="60"/>
      <c r="T21" s="60"/>
      <c r="U21" s="60"/>
      <c r="V21" s="28"/>
    </row>
    <row r="22" spans="1:22" ht="36" customHeight="1" thickBot="1" x14ac:dyDescent="0.25">
      <c r="A22" s="38">
        <f>IF(ISBLANK(Distance Control_7),"",Control_7 Distance)</f>
        <v>176</v>
      </c>
      <c r="B22" s="39">
        <f>Control_7 Open_time</f>
        <v>44842.507638888885</v>
      </c>
      <c r="C22" s="39">
        <f>Control_7 Close_time</f>
        <v>44842.780555555553</v>
      </c>
      <c r="D22" s="40" t="str">
        <f>IF(ISBLANK(Locale Control_7),"",Locale Control_7)</f>
        <v xml:space="preserve">SAANICH </v>
      </c>
      <c r="E22" s="32" t="str">
        <f>IF(ISBLANK(Control_7 Establishment_2),"",Control_7 Establishment_2)</f>
        <v>Trestle over Interurban Rd</v>
      </c>
      <c r="F22" s="98" t="str">
        <f>IF(ISBLANK('Control Entry'!J21),"",'Control Entry'!J21)</f>
        <v>Bottom warning</v>
      </c>
      <c r="G22" s="97"/>
      <c r="H22" s="27" t="s">
        <v>29</v>
      </c>
      <c r="J22" s="58" t="s">
        <v>45</v>
      </c>
      <c r="K22" s="58"/>
      <c r="L22" s="155"/>
      <c r="M22" s="155"/>
      <c r="N22" s="155"/>
      <c r="O22" s="19"/>
      <c r="P22" s="18" t="s">
        <v>1</v>
      </c>
      <c r="Q22" s="18"/>
      <c r="R22" s="19"/>
      <c r="S22" s="152"/>
      <c r="T22" s="152"/>
      <c r="U22" s="152"/>
    </row>
    <row r="23" spans="1:22" ht="36" customHeight="1" thickBot="1" x14ac:dyDescent="0.25">
      <c r="A23" s="33"/>
      <c r="B23" s="34">
        <f>Control_7 Open_time</f>
        <v>44842.507638888885</v>
      </c>
      <c r="C23" s="34">
        <f>Control_7 Close_time</f>
        <v>44842.780555555553</v>
      </c>
      <c r="D23" s="35"/>
      <c r="E23" s="36" t="str">
        <f>IF(ISBLANK(Control_7 Establishment_3),"",Control_7 Establishment_3)</f>
        <v>GG Trail</v>
      </c>
      <c r="F23" s="100" t="str">
        <f>IF(ISBLANK('Control Entry'!K21),"",'Control Entry'!K21)</f>
        <v>Uneven __________________________?</v>
      </c>
      <c r="G23" s="99"/>
      <c r="H23" s="27" t="s">
        <v>29</v>
      </c>
      <c r="J23" s="58"/>
      <c r="K23" s="58"/>
      <c r="L23" s="57"/>
      <c r="M23" s="57"/>
      <c r="N23" s="57"/>
      <c r="O23" s="22"/>
      <c r="P23" s="56"/>
      <c r="Q23" s="56"/>
      <c r="R23" s="22"/>
      <c r="S23" s="22"/>
      <c r="T23" s="22"/>
      <c r="U23" s="22"/>
      <c r="V23" s="28"/>
    </row>
    <row r="24" spans="1:22" ht="36" customHeight="1" thickBot="1" x14ac:dyDescent="0.25">
      <c r="A24" s="29"/>
      <c r="B24" s="30">
        <f>Control_8 Open_time</f>
        <v>44842.539583333331</v>
      </c>
      <c r="C24" s="30">
        <f>Control_8 Close_time</f>
        <v>44842.854166666664</v>
      </c>
      <c r="D24" s="37"/>
      <c r="E24" s="32" t="str">
        <f>IF(ISBLANK(Control_8 Establishment_1),"",Control_8 Establishment_1)</f>
        <v>SELF CHECK</v>
      </c>
      <c r="F24" s="96" t="str">
        <f>IF(ISBLANK('Control Entry'!I22),"",'Control Entry'!I22)</f>
        <v/>
      </c>
      <c r="G24" s="97"/>
      <c r="H24" s="27" t="s">
        <v>29</v>
      </c>
      <c r="J24" s="152"/>
      <c r="K24" s="152"/>
      <c r="L24" s="152"/>
      <c r="M24" s="152"/>
      <c r="N24" s="152"/>
      <c r="O24" s="19"/>
      <c r="P24" s="18" t="s">
        <v>2</v>
      </c>
      <c r="Q24" s="18"/>
      <c r="R24" s="19"/>
      <c r="S24" s="152"/>
      <c r="T24" s="152"/>
      <c r="U24" s="152"/>
    </row>
    <row r="25" spans="1:22" ht="36" customHeight="1" x14ac:dyDescent="0.2">
      <c r="A25" s="38">
        <f>IF(ISBLANK(Distance Control_8),"",Control_8 Distance)</f>
        <v>202</v>
      </c>
      <c r="B25" s="39">
        <f>Control_8 Open_time</f>
        <v>44842.539583333331</v>
      </c>
      <c r="C25" s="39">
        <f>Control_8 Close_time</f>
        <v>44842.854166666664</v>
      </c>
      <c r="D25" s="40" t="str">
        <f>IF(ISBLANK(Locale Control_8),"",Locale Control_8)</f>
        <v>CENTRAL SAANICH</v>
      </c>
      <c r="E25" s="32" t="str">
        <f>IF(ISBLANK(Control_8 Establishment_2),"",Control_8 Establishment_2)</f>
        <v>James Island Pier</v>
      </c>
      <c r="F25" s="96" t="str">
        <f>IF(ISBLANK('Control Entry'!J22),"",'Control Entry'!J22)</f>
        <v/>
      </c>
      <c r="G25" s="97"/>
      <c r="H25" s="27" t="s">
        <v>29</v>
      </c>
      <c r="J25" s="147" t="s">
        <v>17</v>
      </c>
      <c r="K25" s="147"/>
      <c r="L25" s="147"/>
      <c r="M25" s="147"/>
      <c r="N25" s="147"/>
      <c r="O25" s="51"/>
      <c r="P25" s="124"/>
      <c r="Q25" s="124"/>
      <c r="R25" s="51"/>
      <c r="S25" s="122"/>
      <c r="T25" s="122"/>
      <c r="U25" s="122"/>
      <c r="V25" s="122"/>
    </row>
    <row r="26" spans="1:22" ht="36" customHeight="1" thickBot="1" x14ac:dyDescent="0.25">
      <c r="A26" s="33"/>
      <c r="B26" s="34">
        <f>Control_8 Open_time</f>
        <v>44842.539583333331</v>
      </c>
      <c r="C26" s="34">
        <f>Control_8 Close_time</f>
        <v>44842.854166666664</v>
      </c>
      <c r="D26" s="35"/>
      <c r="E26" s="36" t="str">
        <f>IF(ISBLANK(Control_8 Establishment_3),"",Control_8 Establishment_3)</f>
        <v>James Island Road</v>
      </c>
      <c r="F26" s="100" t="str">
        <f>IF(ISBLANK('Control Entry'!K22),"",'Control Entry'!K22)</f>
        <v/>
      </c>
      <c r="G26" s="99"/>
      <c r="H26" s="27" t="s">
        <v>29</v>
      </c>
    </row>
    <row r="27" spans="1:22" ht="36" customHeight="1" x14ac:dyDescent="0.2">
      <c r="A27" s="29"/>
      <c r="B27" s="30" t="str">
        <f>Control_9 Open_time</f>
        <v/>
      </c>
      <c r="C27" s="30" t="str">
        <f>Control_9 Close_time</f>
        <v/>
      </c>
      <c r="D27" s="37"/>
      <c r="E27" s="32" t="str">
        <f>IF(ISBLANK(Control_9 Establishment_1),"",Control_9 Establishment_1)</f>
        <v/>
      </c>
      <c r="F27" s="96" t="str">
        <f>IF(ISBLANK('Control Entry'!I23),"",'Control Entry'!I23)</f>
        <v/>
      </c>
      <c r="G27" s="97"/>
      <c r="H27" s="27" t="s">
        <v>29</v>
      </c>
      <c r="K27" s="131" t="s">
        <v>56</v>
      </c>
      <c r="L27" s="124"/>
      <c r="M27" s="50" t="s">
        <v>57</v>
      </c>
      <c r="N27" s="124" t="s">
        <v>49</v>
      </c>
      <c r="O27" s="124"/>
      <c r="P27" s="124" t="s">
        <v>50</v>
      </c>
      <c r="Q27" s="124"/>
      <c r="R27" s="51" t="s">
        <v>51</v>
      </c>
      <c r="S27" s="122" t="s">
        <v>52</v>
      </c>
      <c r="T27" s="122"/>
      <c r="U27" s="122" t="s">
        <v>53</v>
      </c>
      <c r="V27" s="122"/>
    </row>
    <row r="28" spans="1:22" ht="36" customHeight="1" x14ac:dyDescent="0.2">
      <c r="A28" s="38" t="str">
        <f>IF(ISBLANK(Distance Control_9),"",Control_9 Distance)</f>
        <v/>
      </c>
      <c r="B28" s="39" t="str">
        <f>Control_9 Open_time</f>
        <v/>
      </c>
      <c r="C28" s="39" t="str">
        <f>Control_9 Close_time</f>
        <v/>
      </c>
      <c r="D28" s="40" t="str">
        <f>IF(ISBLANK(Locale Control_9),"",Locale Control_9)</f>
        <v/>
      </c>
      <c r="E28" s="32" t="str">
        <f>IF(ISBLANK(Control_9 Establishment_2),"",Control_9 Establishment_2)</f>
        <v/>
      </c>
      <c r="F28" s="96" t="str">
        <f>IF(ISBLANK('Control Entry'!J23),"",'Control Entry'!J23)</f>
        <v/>
      </c>
      <c r="G28" s="97"/>
      <c r="H28" s="27" t="s">
        <v>29</v>
      </c>
    </row>
    <row r="29" spans="1:22" ht="36" customHeight="1" thickBot="1" x14ac:dyDescent="0.25">
      <c r="A29" s="33"/>
      <c r="B29" s="34" t="str">
        <f>Control_9 Open_time</f>
        <v/>
      </c>
      <c r="C29" s="34" t="str">
        <f>Control_9 Close_time</f>
        <v/>
      </c>
      <c r="D29" s="35"/>
      <c r="E29" s="36" t="str">
        <f>IF(ISBLANK(Control_9 Establishment_3),"",Control_9 Establishment_3)</f>
        <v/>
      </c>
      <c r="F29" s="100" t="str">
        <f>IF(ISBLANK('Control Entry'!K23),"",'Control Entry'!K23)</f>
        <v/>
      </c>
      <c r="G29" s="99"/>
      <c r="H29" s="27" t="s">
        <v>29</v>
      </c>
      <c r="M29" s="123" t="s">
        <v>42</v>
      </c>
      <c r="N29" s="123"/>
      <c r="O29" s="123"/>
      <c r="P29" s="123"/>
      <c r="Q29" s="123"/>
      <c r="R29" s="123"/>
      <c r="S29" s="123"/>
      <c r="T29" s="123"/>
      <c r="U29" s="54"/>
    </row>
    <row r="30" spans="1:22" ht="36" customHeight="1" x14ac:dyDescent="0.2">
      <c r="A30" s="29"/>
      <c r="B30" s="30" t="str">
        <f>Control_10 Open_time</f>
        <v/>
      </c>
      <c r="C30" s="30" t="str">
        <f>Control_10 Close_time</f>
        <v/>
      </c>
      <c r="D30" s="37"/>
      <c r="E30" s="32" t="str">
        <f>IF(ISBLANK(Control_10 Establishment_1),"",Control_10 Establishment_1)</f>
        <v/>
      </c>
      <c r="F30" s="96" t="str">
        <f>IF(ISBLANK('Control Entry'!I24),"",'Control Entry'!I24)</f>
        <v/>
      </c>
      <c r="G30" s="97"/>
      <c r="H30" s="27" t="s">
        <v>29</v>
      </c>
      <c r="M30" s="16"/>
      <c r="N30" s="20"/>
      <c r="O30" s="20"/>
      <c r="P30" s="21"/>
      <c r="Q30" s="102"/>
      <c r="R30" s="20"/>
      <c r="S30" s="20"/>
      <c r="T30" s="21"/>
      <c r="U30" s="22"/>
    </row>
    <row r="31" spans="1:22" ht="36" customHeight="1" x14ac:dyDescent="0.2">
      <c r="A31" s="38" t="str">
        <f>IF(ISBLANK(Distance Control_10),"",Control_10 Distance)</f>
        <v/>
      </c>
      <c r="B31" s="39" t="str">
        <f>Control_10 Open_time</f>
        <v/>
      </c>
      <c r="C31" s="39" t="str">
        <f>Control_10 Close_time</f>
        <v/>
      </c>
      <c r="D31" s="40" t="str">
        <f>IF(ISBLANK(Locale Control_10),"",Locale Control_10)</f>
        <v/>
      </c>
      <c r="E31" s="32" t="str">
        <f>IF(ISBLANK(Control_10 Establishment_2),"",Control_10 Establishment_2)</f>
        <v/>
      </c>
      <c r="F31" s="96" t="str">
        <f>IF(ISBLANK('Control Entry'!J24),"",'Control Entry'!J24)</f>
        <v/>
      </c>
      <c r="G31" s="97"/>
      <c r="H31" s="27" t="s">
        <v>29</v>
      </c>
      <c r="M31" s="17"/>
      <c r="N31" s="22"/>
      <c r="O31" s="22"/>
      <c r="P31" s="23"/>
      <c r="Q31" s="103"/>
      <c r="R31" s="22"/>
      <c r="S31" s="22"/>
      <c r="T31" s="23"/>
      <c r="U31" s="22"/>
    </row>
    <row r="32" spans="1:22" ht="36" customHeight="1" thickBot="1" x14ac:dyDescent="0.25">
      <c r="A32" s="33"/>
      <c r="B32" s="34" t="str">
        <f>Control_10 Open_time</f>
        <v/>
      </c>
      <c r="C32" s="34" t="str">
        <f>Control_10 Close_time</f>
        <v/>
      </c>
      <c r="D32" s="35"/>
      <c r="E32" s="36" t="str">
        <f>IF(ISBLANK(Control_10 Establishment_3),"",Control_10 Establishment_3)</f>
        <v/>
      </c>
      <c r="F32" s="100" t="str">
        <f>IF(ISBLANK('Control Entry'!K24),"",'Control Entry'!K24)</f>
        <v/>
      </c>
      <c r="G32" s="99"/>
      <c r="H32" s="27" t="s">
        <v>29</v>
      </c>
      <c r="M32" s="137" t="s">
        <v>82</v>
      </c>
      <c r="N32" s="138"/>
      <c r="O32" s="138"/>
      <c r="P32" s="139"/>
      <c r="Q32" s="140">
        <f>'Control Entry'!B3</f>
        <v>44700</v>
      </c>
      <c r="R32" s="141"/>
      <c r="S32" s="141"/>
      <c r="T32" s="142"/>
      <c r="U32" s="22"/>
    </row>
    <row r="33" spans="1:22" ht="36" customHeight="1" x14ac:dyDescent="0.2">
      <c r="A33" s="130" t="s">
        <v>43</v>
      </c>
      <c r="B33" s="130"/>
      <c r="C33" s="130"/>
      <c r="D33" s="130"/>
      <c r="E33" s="130"/>
      <c r="F33" s="130"/>
      <c r="G33" s="130"/>
      <c r="H33" s="41"/>
      <c r="I33" s="41"/>
      <c r="M33" s="125" t="s">
        <v>86</v>
      </c>
      <c r="N33" s="126"/>
      <c r="O33" s="126"/>
      <c r="P33" s="126"/>
      <c r="Q33" s="127">
        <f>'Control Entry'!B4</f>
        <v>44840</v>
      </c>
      <c r="R33" s="128"/>
      <c r="S33" s="128"/>
      <c r="T33" s="128"/>
      <c r="U33" s="92"/>
      <c r="V33" s="49"/>
    </row>
    <row r="34" spans="1:22" ht="36" customHeight="1" x14ac:dyDescent="0.2">
      <c r="A34"/>
      <c r="O34" s="47"/>
      <c r="P34" s="47"/>
      <c r="Q34" s="47"/>
      <c r="R34" s="46"/>
    </row>
    <row r="35" spans="1:22" ht="36" customHeight="1" x14ac:dyDescent="0.2">
      <c r="A35"/>
      <c r="N35" s="123"/>
      <c r="O35" s="123"/>
      <c r="P35" s="123"/>
      <c r="Q35" s="123"/>
      <c r="R35" s="123"/>
      <c r="S35" s="123"/>
      <c r="T35" s="123"/>
      <c r="U35" s="12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iDQb38Z5WZp87lXMQAT4xTXeXKPICpVt+wSBVo/dofQxJAYMrgvpXFZDzKlfo5JR1/olCdCIytlMSqpHKz79Wg==" saltValue="3TGUHDVIfOEKM0XlLUm4zg==" spinCount="100000" sheet="1" objects="1" scenarios="1" formatCells="0" selectLockedCells="1"/>
  <mergeCells count="41">
    <mergeCell ref="N5:O5"/>
    <mergeCell ref="K27:L27"/>
    <mergeCell ref="J25:N25"/>
    <mergeCell ref="O3:R3"/>
    <mergeCell ref="S20:U20"/>
    <mergeCell ref="L15:U15"/>
    <mergeCell ref="L6:U6"/>
    <mergeCell ref="S24:U24"/>
    <mergeCell ref="J24:N24"/>
    <mergeCell ref="L9:U9"/>
    <mergeCell ref="L10:U10"/>
    <mergeCell ref="L16:U16"/>
    <mergeCell ref="L22:N22"/>
    <mergeCell ref="S22:U22"/>
    <mergeCell ref="L13:N13"/>
    <mergeCell ref="S11:U11"/>
    <mergeCell ref="A1:G1"/>
    <mergeCell ref="A33:G33"/>
    <mergeCell ref="M4:T4"/>
    <mergeCell ref="P25:Q25"/>
    <mergeCell ref="S25:T25"/>
    <mergeCell ref="S12:U12"/>
    <mergeCell ref="R13:U13"/>
    <mergeCell ref="R5:U5"/>
    <mergeCell ref="K2:U2"/>
    <mergeCell ref="L8:Q8"/>
    <mergeCell ref="M32:P32"/>
    <mergeCell ref="Q32:T32"/>
    <mergeCell ref="T8:U8"/>
    <mergeCell ref="L20:N20"/>
    <mergeCell ref="L11:N11"/>
    <mergeCell ref="L12:N12"/>
    <mergeCell ref="U25:V25"/>
    <mergeCell ref="N35:U35"/>
    <mergeCell ref="M29:T29"/>
    <mergeCell ref="N27:O27"/>
    <mergeCell ref="P27:Q27"/>
    <mergeCell ref="S27:T27"/>
    <mergeCell ref="U27:V27"/>
    <mergeCell ref="M33:P33"/>
    <mergeCell ref="Q33:T33"/>
  </mergeCells>
  <phoneticPr fontId="16" type="noConversion"/>
  <pageMargins left="0.2" right="0.2" top="0.2" bottom="0.2" header="0.51" footer="0.51"/>
  <pageSetup scale="45" orientation="landscape" horizontalDpi="4294967292" verticalDpi="4294967292"/>
  <ignoredErrors>
    <ignoredError sqref="L20" unlockedFormula="1"/>
  </ignoredErrors>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topLeftCell="A2" zoomScale="92" zoomScaleNormal="92" zoomScalePageLayoutView="92" workbookViewId="0">
      <selection activeCell="F3" sqref="F3"/>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9" t="s">
        <v>74</v>
      </c>
      <c r="B1" s="129"/>
      <c r="C1" s="129"/>
      <c r="D1" s="129"/>
      <c r="E1" s="129"/>
      <c r="F1" s="129"/>
      <c r="G1" s="129"/>
      <c r="H1" s="27" t="s">
        <v>29</v>
      </c>
    </row>
    <row r="2" spans="1:22" ht="33.75" customHeight="1" thickBot="1" x14ac:dyDescent="0.25">
      <c r="A2" s="74" t="s">
        <v>30</v>
      </c>
      <c r="B2" s="9" t="s">
        <v>3</v>
      </c>
      <c r="C2" s="9" t="s">
        <v>4</v>
      </c>
      <c r="D2" s="9" t="s">
        <v>25</v>
      </c>
      <c r="E2" s="9" t="s">
        <v>31</v>
      </c>
      <c r="F2" s="9" t="s">
        <v>59</v>
      </c>
      <c r="G2" s="74" t="s">
        <v>32</v>
      </c>
      <c r="H2" s="27" t="s">
        <v>29</v>
      </c>
      <c r="K2" s="135" t="s">
        <v>55</v>
      </c>
      <c r="L2" s="135"/>
      <c r="M2" s="135"/>
      <c r="N2" s="135"/>
      <c r="O2" s="135"/>
      <c r="P2" s="135"/>
      <c r="Q2" s="135"/>
      <c r="R2" s="135"/>
      <c r="S2" s="135"/>
      <c r="T2" s="135"/>
      <c r="U2" s="135"/>
    </row>
    <row r="3" spans="1:22" ht="36" customHeight="1" x14ac:dyDescent="0.45">
      <c r="A3" s="29"/>
      <c r="B3" s="30">
        <f>'Control Entry'!N28</f>
        <v>44842.291666666664</v>
      </c>
      <c r="C3" s="30">
        <f>'Control Entry'!O28</f>
        <v>44842.333333333328</v>
      </c>
      <c r="D3" s="31"/>
      <c r="E3" s="32" t="str">
        <f>IF(ISBLANK('Control Entry'!F28),"",'Control Entry'!F28)</f>
        <v>STAFFED</v>
      </c>
      <c r="F3" s="96" t="str">
        <f>IF(ISBLANK('Control Entry'!I28),"",'Control Entry'!I28)</f>
        <v/>
      </c>
      <c r="G3" s="97"/>
      <c r="H3" s="27" t="s">
        <v>29</v>
      </c>
      <c r="K3" s="14"/>
      <c r="O3" s="148" t="s">
        <v>73</v>
      </c>
      <c r="P3" s="148"/>
      <c r="Q3" s="148"/>
      <c r="R3" s="148"/>
      <c r="S3" s="85" t="str">
        <f>IF('Control Entry'!D28=0,"","#2")</f>
        <v/>
      </c>
      <c r="U3" s="42"/>
    </row>
    <row r="4" spans="1:22" ht="36" customHeight="1" x14ac:dyDescent="0.2">
      <c r="A4" s="38">
        <f>IF(ISBLANK('Control Entry'!D28),"",'Control Entry'!D28)</f>
        <v>0</v>
      </c>
      <c r="B4" s="39">
        <f>'Control Entry'!N28</f>
        <v>44842.291666666664</v>
      </c>
      <c r="C4" s="39">
        <f>'Control Entry'!O28</f>
        <v>44842.333333333328</v>
      </c>
      <c r="D4" s="40" t="str">
        <f>IF(ISBLANK('Control Entry'!E28),"",'Control Entry'!E28)</f>
        <v>VIEW ROYAL</v>
      </c>
      <c r="E4" s="32" t="str">
        <f>IF(ISBLANK('Control Entry'!G28),"",'Control Entry'!G28)</f>
        <v>Galloping Goose Atkins Rd Park</v>
      </c>
      <c r="F4" s="96" t="str">
        <f>IF(ISBLANK('Control Entry'!J28),"",'Control Entry'!J28)</f>
        <v/>
      </c>
      <c r="G4" s="97"/>
      <c r="H4" s="27" t="s">
        <v>29</v>
      </c>
      <c r="K4" s="14"/>
      <c r="M4" s="131" t="str">
        <f>IF(ISBLANK(brevet),"",brevet&amp;" km Randonnée")</f>
        <v>200 km Randonnée</v>
      </c>
      <c r="N4" s="131"/>
      <c r="O4" s="131"/>
      <c r="P4" s="131"/>
      <c r="Q4" s="131"/>
      <c r="R4" s="131"/>
      <c r="S4" s="131"/>
      <c r="T4" s="131"/>
      <c r="U4" s="43"/>
    </row>
    <row r="5" spans="1:22" ht="36" customHeight="1" thickBot="1" x14ac:dyDescent="0.25">
      <c r="A5" s="33"/>
      <c r="B5" s="34">
        <f>'Control Entry'!N28</f>
        <v>44842.291666666664</v>
      </c>
      <c r="C5" s="34">
        <f>'Control Entry'!O28</f>
        <v>44842.333333333328</v>
      </c>
      <c r="D5" s="35"/>
      <c r="E5" s="36" t="str">
        <f>IF(ISBLANK('Control Entry'!H28),"",'Control Entry'!H28)</f>
        <v/>
      </c>
      <c r="F5" s="100" t="str">
        <f>IF(ISBLANK('Control Entry'!K28),"",'Control Entry'!K28)</f>
        <v/>
      </c>
      <c r="G5" s="99"/>
      <c r="H5" s="27" t="s">
        <v>29</v>
      </c>
      <c r="K5" s="14"/>
      <c r="M5" s="15"/>
      <c r="N5" s="146" t="s">
        <v>47</v>
      </c>
      <c r="O5" s="146"/>
      <c r="P5" s="61">
        <f>IF(ISBLANK(Brevet_Number),"",Brevet_Number)</f>
        <v>5165</v>
      </c>
      <c r="Q5" s="62"/>
      <c r="R5" s="134">
        <f>IF(ISBLANK('Control Entry'!$B10),"",'Control Entry'!$B10)</f>
        <v>44842</v>
      </c>
      <c r="S5" s="134"/>
      <c r="T5" s="134"/>
      <c r="U5" s="134"/>
      <c r="V5" s="44"/>
    </row>
    <row r="6" spans="1:22" ht="36" customHeight="1" x14ac:dyDescent="0.2">
      <c r="A6" s="29"/>
      <c r="B6" s="30">
        <f>'Control Entry'!N29</f>
        <v>44842.297916666663</v>
      </c>
      <c r="C6" s="30">
        <f>'Control Entry'!O29</f>
        <v>44842.344444444439</v>
      </c>
      <c r="D6" s="37"/>
      <c r="E6" s="32" t="str">
        <f>IF(ISBLANK('Control Entry'!F29),"",'Control Entry'!F29)</f>
        <v>INFORMATION</v>
      </c>
      <c r="F6" s="96" t="str">
        <f>IF(ISBLANK('Control Entry'!I29),"",'Control Entry'!I29)</f>
        <v>Sign on right post at start</v>
      </c>
      <c r="G6" s="97"/>
      <c r="H6" s="27" t="s">
        <v>29</v>
      </c>
      <c r="K6" s="14"/>
      <c r="L6" s="151" t="str">
        <f>IF(ISBLANK(Brevet_Description),"",Brevet_Description)</f>
        <v>Cove N Spit</v>
      </c>
      <c r="M6" s="151"/>
      <c r="N6" s="151"/>
      <c r="O6" s="151"/>
      <c r="P6" s="151"/>
      <c r="Q6" s="151"/>
      <c r="R6" s="151"/>
      <c r="S6" s="151"/>
      <c r="T6" s="151"/>
      <c r="U6" s="151"/>
    </row>
    <row r="7" spans="1:22" ht="36" customHeight="1" x14ac:dyDescent="0.2">
      <c r="A7" s="38">
        <f>IF(ISBLANK('Control Entry'!D29),"",'Control Entry'!D29)</f>
        <v>5.2</v>
      </c>
      <c r="B7" s="39">
        <f>'Control Entry'!N29</f>
        <v>44842.297916666663</v>
      </c>
      <c r="C7" s="39">
        <f>'Control Entry'!O29</f>
        <v>44842.344444444439</v>
      </c>
      <c r="D7" s="40" t="str">
        <f>IF(ISBLANK('Control Entry'!E29),"",'Control Entry'!E29)</f>
        <v xml:space="preserve">SAANICH </v>
      </c>
      <c r="E7" s="32" t="str">
        <f>IF(ISBLANK('Control Entry'!G29),"",'Control Entry'!G29)</f>
        <v>Trestle over Interurban Rd</v>
      </c>
      <c r="F7" s="98" t="str">
        <f>IF(ISBLANK('Control Entry'!J29),"",'Control Entry'!J29)</f>
        <v>Bottom warning</v>
      </c>
      <c r="G7" s="97"/>
      <c r="H7" s="27" t="s">
        <v>29</v>
      </c>
    </row>
    <row r="8" spans="1:22" ht="36" customHeight="1" thickBot="1" x14ac:dyDescent="0.25">
      <c r="A8" s="33"/>
      <c r="B8" s="34">
        <f>'Control Entry'!N29</f>
        <v>44842.297916666663</v>
      </c>
      <c r="C8" s="34">
        <f>'Control Entry'!O29</f>
        <v>44842.344444444439</v>
      </c>
      <c r="D8" s="35"/>
      <c r="E8" s="36" t="str">
        <f>IF(ISBLANK('Control Entry'!H29),"",'Control Entry'!H29)</f>
        <v>GG Trail</v>
      </c>
      <c r="F8" s="100" t="str">
        <f>IF(ISBLANK('Control Entry'!K29),"",'Control Entry'!K29)</f>
        <v>Uneven __________________________?</v>
      </c>
      <c r="G8" s="99"/>
      <c r="H8" s="27" t="s">
        <v>29</v>
      </c>
      <c r="J8" s="15" t="s">
        <v>34</v>
      </c>
      <c r="L8" s="136"/>
      <c r="M8" s="136"/>
      <c r="N8" s="136"/>
      <c r="O8" s="136"/>
      <c r="P8" s="136"/>
      <c r="Q8" s="136"/>
      <c r="R8" s="28"/>
      <c r="S8" s="45" t="s">
        <v>46</v>
      </c>
      <c r="T8" s="143"/>
      <c r="U8" s="143"/>
    </row>
    <row r="9" spans="1:22" ht="36" customHeight="1" thickBot="1" x14ac:dyDescent="0.3">
      <c r="A9" s="29"/>
      <c r="B9" s="30">
        <f>'Control Entry'!N30</f>
        <v>44842.329861111109</v>
      </c>
      <c r="C9" s="30">
        <f>'Control Entry'!O30</f>
        <v>44842.398611111108</v>
      </c>
      <c r="D9" s="37"/>
      <c r="E9" s="32" t="str">
        <f>IF(ISBLANK('Control Entry'!F30),"",'Control Entry'!F30)</f>
        <v>INFORMATION</v>
      </c>
      <c r="F9" s="96" t="str">
        <f>IF(ISBLANK('Control Entry'!I30),"",'Control Entry'!I30)</f>
        <v>Sign by ramp down to water</v>
      </c>
      <c r="G9" s="97"/>
      <c r="H9" s="27" t="s">
        <v>29</v>
      </c>
      <c r="J9" s="15" t="s">
        <v>35</v>
      </c>
      <c r="K9" s="15"/>
      <c r="L9" s="153" t="s">
        <v>54</v>
      </c>
      <c r="M9" s="153"/>
      <c r="N9" s="153"/>
      <c r="O9" s="153"/>
      <c r="P9" s="153"/>
      <c r="Q9" s="153"/>
      <c r="R9" s="153"/>
      <c r="S9" s="153"/>
      <c r="T9" s="153"/>
      <c r="U9" s="153"/>
    </row>
    <row r="10" spans="1:22" ht="36" customHeight="1" thickBot="1" x14ac:dyDescent="0.3">
      <c r="A10" s="38">
        <f>IF(ISBLANK('Control Entry'!D30),"",'Control Entry'!D30)</f>
        <v>31.2</v>
      </c>
      <c r="B10" s="39">
        <f>'Control Entry'!N30</f>
        <v>44842.329861111109</v>
      </c>
      <c r="C10" s="39">
        <f>'Control Entry'!O30</f>
        <v>44842.398611111108</v>
      </c>
      <c r="D10" s="40" t="str">
        <f>IF(ISBLANK('Control Entry'!E30),"",'Control Entry'!E30)</f>
        <v>CENTRAL SAANICH</v>
      </c>
      <c r="E10" s="53" t="str">
        <f>IF(ISBLANK('Control Entry'!G30),"",'Control Entry'!G30)</f>
        <v>James Island Pier</v>
      </c>
      <c r="F10" s="98" t="str">
        <f>IF(ISBLANK('Control Entry'!J30),"",'Control Entry'!J30)</f>
        <v xml:space="preserve">Bottom contact </v>
      </c>
      <c r="G10" s="97"/>
      <c r="H10" s="27" t="s">
        <v>29</v>
      </c>
      <c r="J10" s="15"/>
      <c r="K10" s="15"/>
      <c r="L10" s="145"/>
      <c r="M10" s="145"/>
      <c r="N10" s="145"/>
      <c r="O10" s="145"/>
      <c r="P10" s="145"/>
      <c r="Q10" s="145"/>
      <c r="R10" s="145"/>
      <c r="S10" s="145"/>
      <c r="T10" s="145"/>
      <c r="U10" s="145"/>
    </row>
    <row r="11" spans="1:22" ht="36" customHeight="1" thickBot="1" x14ac:dyDescent="0.3">
      <c r="A11" s="33"/>
      <c r="B11" s="34">
        <f>'Control Entry'!N30</f>
        <v>44842.329861111109</v>
      </c>
      <c r="C11" s="34">
        <f>'Control Entry'!O30</f>
        <v>44842.398611111108</v>
      </c>
      <c r="D11" s="35"/>
      <c r="E11" s="36" t="str">
        <f>IF(ISBLANK('Control Entry'!H30),"",'Control Entry'!H30)</f>
        <v>James Island Road</v>
      </c>
      <c r="F11" s="100" t="str">
        <f>IF(ISBLANK('Control Entry'!K30),"",'Control Entry'!K30)</f>
        <v>Central Saanich _____________?</v>
      </c>
      <c r="G11" s="99"/>
      <c r="H11" s="27" t="s">
        <v>29</v>
      </c>
      <c r="J11" s="15" t="s">
        <v>36</v>
      </c>
      <c r="K11" s="15"/>
      <c r="L11" s="145"/>
      <c r="M11" s="145"/>
      <c r="N11" s="145"/>
      <c r="O11" s="18"/>
      <c r="P11" s="18" t="s">
        <v>37</v>
      </c>
      <c r="Q11" s="18"/>
      <c r="R11" s="18"/>
      <c r="S11" s="132"/>
      <c r="T11" s="132"/>
      <c r="U11" s="132"/>
    </row>
    <row r="12" spans="1:22" ht="36" customHeight="1" thickBot="1" x14ac:dyDescent="0.3">
      <c r="A12" s="29"/>
      <c r="B12" s="30">
        <f>'Control Entry'!N31</f>
        <v>44842.361805555556</v>
      </c>
      <c r="C12" s="30">
        <f>'Control Entry'!O31</f>
        <v>44842.452777777777</v>
      </c>
      <c r="D12" s="37"/>
      <c r="E12" s="32" t="str">
        <f>IF(ISBLANK('Control Entry'!F31),"",'Control Entry'!F31)</f>
        <v>INFORMATION</v>
      </c>
      <c r="F12" s="96" t="str">
        <f>IF(ISBLANK('Control Entry'!I31),"",'Control Entry'!I31)</f>
        <v>From parking lot</v>
      </c>
      <c r="G12" s="97"/>
      <c r="H12" s="27" t="s">
        <v>29</v>
      </c>
      <c r="J12" s="15" t="s">
        <v>38</v>
      </c>
      <c r="K12" s="15"/>
      <c r="L12" s="145"/>
      <c r="M12" s="145"/>
      <c r="N12" s="145"/>
      <c r="O12" s="18"/>
      <c r="P12" s="18" t="s">
        <v>39</v>
      </c>
      <c r="Q12" s="18"/>
      <c r="R12" s="18"/>
      <c r="S12" s="132"/>
      <c r="T12" s="132"/>
      <c r="U12" s="132"/>
    </row>
    <row r="13" spans="1:22" ht="36" customHeight="1" thickBot="1" x14ac:dyDescent="0.3">
      <c r="A13" s="38">
        <f>IF(ISBLANK('Control Entry'!D31),"",'Control Entry'!D31)</f>
        <v>57.4</v>
      </c>
      <c r="B13" s="39">
        <f>'Control Entry'!N31</f>
        <v>44842.361805555556</v>
      </c>
      <c r="C13" s="39">
        <f>'Control Entry'!O31</f>
        <v>44842.452777777777</v>
      </c>
      <c r="D13" s="40" t="str">
        <f>IF(ISBLANK('Control Entry'!E31),"",'Control Entry'!E31)</f>
        <v>SWARTZ BAY</v>
      </c>
      <c r="E13" s="32" t="str">
        <f>IF(ISBLANK('Control Entry'!G31),"",'Control Entry'!G31)</f>
        <v>Fox and Monocle Cae</v>
      </c>
      <c r="F13" s="96" t="str">
        <f>IF(ISBLANK('Control Entry'!J31),"",'Control Entry'!J31)</f>
        <v>Which side of building is 3?</v>
      </c>
      <c r="G13" s="97"/>
      <c r="H13" s="27" t="s">
        <v>29</v>
      </c>
      <c r="J13" s="15" t="s">
        <v>40</v>
      </c>
      <c r="L13" s="156"/>
      <c r="M13" s="156"/>
      <c r="N13" s="156"/>
      <c r="O13" s="19"/>
      <c r="P13" s="18" t="s">
        <v>41</v>
      </c>
      <c r="Q13" s="18"/>
      <c r="R13" s="133"/>
      <c r="S13" s="133"/>
      <c r="T13" s="133"/>
      <c r="U13" s="133"/>
    </row>
    <row r="14" spans="1:22" ht="36" customHeight="1" thickBot="1" x14ac:dyDescent="0.25">
      <c r="A14" s="33"/>
      <c r="B14" s="34">
        <f>'Control Entry'!N31</f>
        <v>44842.361805555556</v>
      </c>
      <c r="C14" s="34">
        <f>'Control Entry'!O31</f>
        <v>44842.452777777777</v>
      </c>
      <c r="D14" s="35"/>
      <c r="E14" s="36" t="str">
        <f>IF(ISBLANK('Control Entry'!H31),"",'Control Entry'!H31)</f>
        <v>3 Canoe Cove Rd</v>
      </c>
      <c r="F14" s="100" t="str">
        <f>IF(ISBLANK('Control Entry'!K31),"",'Control Entry'!K31)</f>
        <v>Left                Right</v>
      </c>
      <c r="G14" s="99"/>
      <c r="H14" s="27" t="s">
        <v>29</v>
      </c>
    </row>
    <row r="15" spans="1:22" ht="36" customHeight="1" x14ac:dyDescent="0.2">
      <c r="A15" s="29"/>
      <c r="B15" s="30">
        <f>'Control Entry'!N32</f>
        <v>44842.440972222219</v>
      </c>
      <c r="C15" s="30">
        <f>'Control Entry'!O32</f>
        <v>44842.630555555552</v>
      </c>
      <c r="D15" s="37"/>
      <c r="E15" s="32" t="str">
        <f>IF(ISBLANK('Control Entry'!F32),"",'Control Entry'!F32)</f>
        <v>INFORMATION</v>
      </c>
      <c r="F15" s="96" t="str">
        <f>IF(ISBLANK('Control Entry'!I32),"",'Control Entry'!I32)</f>
        <v>Information sign end far end of parking lot</v>
      </c>
      <c r="G15" s="97"/>
      <c r="H15" s="27" t="s">
        <v>29</v>
      </c>
      <c r="J15" s="15"/>
      <c r="L15" s="150" t="s">
        <v>58</v>
      </c>
      <c r="M15" s="150"/>
      <c r="N15" s="150"/>
      <c r="O15" s="150"/>
      <c r="P15" s="150"/>
      <c r="Q15" s="150"/>
      <c r="R15" s="150"/>
      <c r="S15" s="150"/>
      <c r="T15" s="150"/>
      <c r="U15" s="150"/>
    </row>
    <row r="16" spans="1:22" ht="36" customHeight="1" thickBot="1" x14ac:dyDescent="0.25">
      <c r="A16" s="38">
        <f>IF(ISBLANK('Control Entry'!D32),"",'Control Entry'!D32)</f>
        <v>122</v>
      </c>
      <c r="B16" s="39">
        <f>'Control Entry'!N32</f>
        <v>44842.440972222219</v>
      </c>
      <c r="C16" s="39">
        <f>'Control Entry'!O32</f>
        <v>44842.630555555552</v>
      </c>
      <c r="D16" s="40" t="str">
        <f>IF(ISBLANK('Control Entry'!E32),"",'Control Entry'!E32)</f>
        <v>EAST SOOKE</v>
      </c>
      <c r="E16" s="32" t="str">
        <f>IF(ISBLANK('Control Entry'!G32),"",'Control Entry'!G32)</f>
        <v xml:space="preserve">Aylard Farm </v>
      </c>
      <c r="F16" s="96" t="str">
        <f>IF(ISBLANK('Control Entry'!J32),"",'Control Entry'!J32)</f>
        <v>Which photo shows the farm?</v>
      </c>
      <c r="G16" s="97"/>
      <c r="H16" s="27" t="s">
        <v>29</v>
      </c>
      <c r="L16" s="154"/>
      <c r="M16" s="154"/>
      <c r="N16" s="154"/>
      <c r="O16" s="154"/>
      <c r="P16" s="154"/>
      <c r="Q16" s="154"/>
      <c r="R16" s="154"/>
      <c r="S16" s="154"/>
      <c r="T16" s="154"/>
      <c r="U16" s="154"/>
    </row>
    <row r="17" spans="1:22" ht="36" customHeight="1" thickBot="1" x14ac:dyDescent="0.25">
      <c r="A17" s="33"/>
      <c r="B17" s="34">
        <f>'Control Entry'!N32</f>
        <v>44842.440972222219</v>
      </c>
      <c r="C17" s="34">
        <f>'Control Entry'!O32</f>
        <v>44842.630555555552</v>
      </c>
      <c r="D17" s="35"/>
      <c r="E17" s="36" t="str">
        <f>IF(ISBLANK('Control Entry'!H32),"",'Control Entry'!H32)</f>
        <v>Becher Bay Rd</v>
      </c>
      <c r="F17" s="100" t="str">
        <f>IF(ISBLANK('Control Entry'!K32),"",'Control Entry'!K32)</f>
        <v>Left           Middle           Right</v>
      </c>
      <c r="G17" s="99"/>
      <c r="H17" s="27" t="s">
        <v>29</v>
      </c>
    </row>
    <row r="18" spans="1:22" ht="36" customHeight="1" x14ac:dyDescent="0.2">
      <c r="A18" s="29"/>
      <c r="B18" s="30">
        <f>'Control Entry'!N33</f>
        <v>44842.474999999999</v>
      </c>
      <c r="C18" s="30">
        <f>'Control Entry'!O33</f>
        <v>44842.707638888889</v>
      </c>
      <c r="D18" s="37"/>
      <c r="E18" s="32" t="str">
        <f>IF(ISBLANK('Control Entry'!F33),"",'Control Entry'!F33)</f>
        <v>INFORMATION</v>
      </c>
      <c r="F18" s="96" t="str">
        <f>IF(ISBLANK('Control Entry'!I33),"",'Control Entry'!I33)</f>
        <v>Tugwell /______ Farm?</v>
      </c>
      <c r="G18" s="97"/>
      <c r="H18" s="27" t="s">
        <v>29</v>
      </c>
    </row>
    <row r="19" spans="1:22" ht="36" customHeight="1" x14ac:dyDescent="0.2">
      <c r="A19" s="38">
        <f>IF(ISBLANK('Control Entry'!D33),"",'Control Entry'!D33)</f>
        <v>149.80000000000001</v>
      </c>
      <c r="B19" s="39">
        <f>'Control Entry'!N33</f>
        <v>44842.474999999999</v>
      </c>
      <c r="C19" s="39">
        <f>'Control Entry'!O33</f>
        <v>44842.707638888889</v>
      </c>
      <c r="D19" s="40" t="str">
        <f>IF(ISBLANK('Control Entry'!E33),"",'Control Entry'!E33)</f>
        <v>OTTER POINT</v>
      </c>
      <c r="E19" s="32" t="str">
        <f>IF(ISBLANK('Control Entry'!G33),"",'Control Entry'!G33)</f>
        <v>Historical marker</v>
      </c>
      <c r="F19" s="96" t="str">
        <f>IF(ISBLANK('Control Entry'!J33),"",'Control Entry'!J33)</f>
        <v/>
      </c>
      <c r="G19" s="97"/>
      <c r="H19" s="27" t="s">
        <v>29</v>
      </c>
    </row>
    <row r="20" spans="1:22" ht="36" customHeight="1" thickBot="1" x14ac:dyDescent="0.25">
      <c r="A20" s="33"/>
      <c r="B20" s="34">
        <f>'Control Entry'!N33</f>
        <v>44842.474999999999</v>
      </c>
      <c r="C20" s="34">
        <f>'Control Entry'!O33</f>
        <v>44842.707638888889</v>
      </c>
      <c r="D20" s="35"/>
      <c r="E20" s="36" t="str">
        <f>IF(ISBLANK('Control Entry'!H33),"",'Control Entry'!H33)</f>
        <v>West Coast Rd nr Otter Point Rd</v>
      </c>
      <c r="F20" s="100" t="str">
        <f>IF(ISBLANK('Control Entry'!K33),"",'Control Entry'!K33)</f>
        <v/>
      </c>
      <c r="G20" s="99"/>
      <c r="H20" s="27" t="s">
        <v>29</v>
      </c>
      <c r="J20" s="59" t="s">
        <v>44</v>
      </c>
      <c r="K20" s="59"/>
      <c r="L20" s="157">
        <f>IF(ISBLANK('Control Entry'!B12),"",'Control Entry'!B12)</f>
        <v>44842</v>
      </c>
      <c r="M20" s="157"/>
      <c r="N20" s="157"/>
      <c r="P20" s="18" t="s">
        <v>0</v>
      </c>
      <c r="Q20" s="18"/>
      <c r="S20" s="149">
        <f>IF(ISBLANK('Control Entry'!B13),"",'Control Entry'!B13)</f>
        <v>0.29166666666666669</v>
      </c>
      <c r="T20" s="149"/>
      <c r="U20" s="149"/>
    </row>
    <row r="21" spans="1:22" ht="36" customHeight="1" x14ac:dyDescent="0.2">
      <c r="A21" s="29"/>
      <c r="B21" s="30">
        <f>'Control Entry'!N34</f>
        <v>44842.487499999996</v>
      </c>
      <c r="C21" s="30">
        <f>'Control Entry'!O34</f>
        <v>44842.736111111109</v>
      </c>
      <c r="D21" s="37"/>
      <c r="E21" s="32" t="str">
        <f>IF(ISBLANK('Control Entry'!F34),"",'Control Entry'!F34)</f>
        <v>INFORMATION</v>
      </c>
      <c r="F21" s="96" t="str">
        <f>IF(ISBLANK('Control Entry'!I34),"",'Control Entry'!I34)</f>
        <v>To right of trail onto Spit</v>
      </c>
      <c r="G21" s="97"/>
      <c r="H21" s="27" t="s">
        <v>29</v>
      </c>
      <c r="J21" s="158" t="s">
        <v>90</v>
      </c>
      <c r="K21" s="158"/>
      <c r="L21" s="158"/>
      <c r="M21" s="158"/>
      <c r="N21" s="158"/>
      <c r="O21" s="158"/>
      <c r="P21" s="158"/>
      <c r="Q21" s="158"/>
      <c r="R21" s="158"/>
      <c r="S21" s="158"/>
      <c r="T21" s="158"/>
      <c r="U21" s="158"/>
      <c r="V21" s="28"/>
    </row>
    <row r="22" spans="1:22" ht="36" customHeight="1" thickBot="1" x14ac:dyDescent="0.25">
      <c r="A22" s="38">
        <f>IF(ISBLANK('Control Entry'!D34),"",'Control Entry'!D34)</f>
        <v>160</v>
      </c>
      <c r="B22" s="39">
        <f>'Control Entry'!N34</f>
        <v>44842.487499999996</v>
      </c>
      <c r="C22" s="39">
        <f>'Control Entry'!O34</f>
        <v>44842.736111111109</v>
      </c>
      <c r="D22" s="40" t="str">
        <f>IF(ISBLANK('Control Entry'!E34),"",'Control Entry'!E34)</f>
        <v>SOOKE</v>
      </c>
      <c r="E22" s="32" t="str">
        <f>IF(ISBLANK('Control Entry'!G34),"",'Control Entry'!G34)</f>
        <v>Whiffen Spit parking lot</v>
      </c>
      <c r="F22" s="96" t="str">
        <f>IF(ISBLANK('Control Entry'!J34),"",'Control Entry'!J34)</f>
        <v xml:space="preserve"> 'No bicycles' sign is ???</v>
      </c>
      <c r="G22" s="97"/>
      <c r="H22" s="27" t="s">
        <v>29</v>
      </c>
      <c r="J22" s="81" t="s">
        <v>45</v>
      </c>
      <c r="K22" s="81"/>
      <c r="L22" s="155"/>
      <c r="M22" s="155"/>
      <c r="N22" s="155"/>
      <c r="O22" s="19"/>
      <c r="P22" s="18" t="s">
        <v>1</v>
      </c>
      <c r="Q22" s="18"/>
      <c r="R22" s="19"/>
      <c r="S22" s="152"/>
      <c r="T22" s="152"/>
      <c r="U22" s="152"/>
    </row>
    <row r="23" spans="1:22" ht="36" customHeight="1" thickBot="1" x14ac:dyDescent="0.25">
      <c r="A23" s="33"/>
      <c r="B23" s="34">
        <f>'Control Entry'!N34</f>
        <v>44842.487499999996</v>
      </c>
      <c r="C23" s="34">
        <f>'Control Entry'!O34</f>
        <v>44842.736111111109</v>
      </c>
      <c r="D23" s="35"/>
      <c r="E23" s="36" t="str">
        <f>IF(ISBLANK('Control Entry'!H34),"",'Control Entry'!H34)</f>
        <v>Whiffin Spit Rd</v>
      </c>
      <c r="F23" s="100" t="str">
        <f>IF(ISBLANK('Control Entry'!K34),"",'Control Entry'!K34)</f>
        <v>Top       2nd       3rd          Bottom</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Entry'!N35</f>
        <v/>
      </c>
      <c r="C24" s="30" t="str">
        <f>'Control Entry'!O35</f>
        <v/>
      </c>
      <c r="D24" s="37"/>
      <c r="E24" s="32" t="str">
        <f>IF(ISBLANK('Control Entry'!F35),"",'Control Entry'!F35)</f>
        <v/>
      </c>
      <c r="F24" s="96" t="str">
        <f>IF(ISBLANK('Control Entry'!I35),"",'Control Entry'!I35)</f>
        <v/>
      </c>
      <c r="G24" s="97"/>
      <c r="H24" s="27" t="s">
        <v>29</v>
      </c>
      <c r="J24" s="152"/>
      <c r="K24" s="152"/>
      <c r="L24" s="152"/>
      <c r="M24" s="152"/>
      <c r="N24" s="152"/>
      <c r="O24" s="19"/>
      <c r="P24" s="18" t="s">
        <v>2</v>
      </c>
      <c r="Q24" s="18"/>
      <c r="R24" s="19"/>
      <c r="S24" s="152"/>
      <c r="T24" s="152"/>
      <c r="U24" s="152"/>
    </row>
    <row r="25" spans="1:22" ht="36" customHeight="1" x14ac:dyDescent="0.2">
      <c r="A25" s="38" t="str">
        <f>IF(ISBLANK('Control Entry'!D35),"",'Control Entry'!D35)</f>
        <v/>
      </c>
      <c r="B25" s="39" t="str">
        <f>'Control Entry'!N35</f>
        <v/>
      </c>
      <c r="C25" s="39" t="str">
        <f>'Control Entry'!O35</f>
        <v/>
      </c>
      <c r="D25" s="40" t="str">
        <f>IF(ISBLANK('Control Entry'!E35),"",'Control Entry'!E35)</f>
        <v/>
      </c>
      <c r="E25" s="32" t="str">
        <f>IF(ISBLANK('Control Entry'!G35),"",'Control Entry'!G35)</f>
        <v/>
      </c>
      <c r="F25" s="96" t="str">
        <f>IF(ISBLANK('Control Entry'!J35),"",'Control Entry'!J35)</f>
        <v/>
      </c>
      <c r="G25" s="97"/>
      <c r="H25" s="27" t="s">
        <v>29</v>
      </c>
      <c r="J25" s="147" t="s">
        <v>17</v>
      </c>
      <c r="K25" s="147"/>
      <c r="L25" s="147"/>
      <c r="M25" s="147"/>
      <c r="N25" s="147"/>
      <c r="O25" s="51"/>
      <c r="P25" s="124"/>
      <c r="Q25" s="124"/>
      <c r="R25" s="51"/>
      <c r="S25" s="122"/>
      <c r="T25" s="122"/>
      <c r="U25" s="122"/>
      <c r="V25" s="122"/>
    </row>
    <row r="26" spans="1:22" ht="36" customHeight="1" thickBot="1" x14ac:dyDescent="0.25">
      <c r="A26" s="33"/>
      <c r="B26" s="34" t="str">
        <f>'Control Entry'!N35</f>
        <v/>
      </c>
      <c r="C26" s="34" t="str">
        <f>'Control Entry'!O35</f>
        <v/>
      </c>
      <c r="D26" s="35"/>
      <c r="E26" s="36" t="str">
        <f>IF(ISBLANK('Control Entry'!H35),"",'Control Entry'!H35)</f>
        <v/>
      </c>
      <c r="F26" s="100" t="str">
        <f>IF(ISBLANK('Control Entry'!K35),"",'Control Entry'!K35)</f>
        <v/>
      </c>
      <c r="G26" s="99"/>
      <c r="H26" s="27" t="s">
        <v>29</v>
      </c>
    </row>
    <row r="27" spans="1:22" ht="36" customHeight="1" x14ac:dyDescent="0.2">
      <c r="A27" s="29"/>
      <c r="B27" s="30" t="str">
        <f>'Control Entry'!N36</f>
        <v/>
      </c>
      <c r="C27" s="30" t="str">
        <f>'Control Entry'!O36</f>
        <v/>
      </c>
      <c r="D27" s="37"/>
      <c r="E27" s="32" t="str">
        <f>IF(ISBLANK('Control Entry'!F36),"",'Control Entry'!F36)</f>
        <v/>
      </c>
      <c r="F27" s="96" t="str">
        <f>IF(ISBLANK('Control Entry'!I36),"",'Control Entry'!I36)</f>
        <v/>
      </c>
      <c r="G27" s="97"/>
      <c r="H27" s="27" t="s">
        <v>29</v>
      </c>
      <c r="K27" s="131" t="s">
        <v>56</v>
      </c>
      <c r="L27" s="124"/>
      <c r="M27" s="50" t="s">
        <v>57</v>
      </c>
      <c r="N27" s="124" t="s">
        <v>49</v>
      </c>
      <c r="O27" s="124"/>
      <c r="P27" s="124" t="s">
        <v>50</v>
      </c>
      <c r="Q27" s="124"/>
      <c r="R27" s="51" t="s">
        <v>51</v>
      </c>
      <c r="S27" s="122" t="s">
        <v>52</v>
      </c>
      <c r="T27" s="122"/>
      <c r="U27" s="122" t="s">
        <v>53</v>
      </c>
      <c r="V27" s="122"/>
    </row>
    <row r="28" spans="1:22" ht="36" customHeight="1" x14ac:dyDescent="0.2">
      <c r="A28" s="38" t="str">
        <f>IF(ISBLANK('Control Entry'!D36),"",'Control Entry'!D36)</f>
        <v/>
      </c>
      <c r="B28" s="39" t="str">
        <f>'Control Entry'!N36</f>
        <v/>
      </c>
      <c r="C28" s="39" t="str">
        <f>'Control Entry'!O36</f>
        <v/>
      </c>
      <c r="D28" s="40" t="str">
        <f>IF(ISBLANK('Control Entry'!E36),"",'Control Entry'!E36)</f>
        <v/>
      </c>
      <c r="E28" s="32" t="str">
        <f>IF(ISBLANK('Control Entry'!G36),"",'Control Entry'!G36)</f>
        <v/>
      </c>
      <c r="F28" s="96" t="str">
        <f>IF(ISBLANK('Control Entry'!J36),"",'Control Entry'!J36)</f>
        <v/>
      </c>
      <c r="G28" s="97"/>
      <c r="H28" s="27" t="s">
        <v>29</v>
      </c>
    </row>
    <row r="29" spans="1:22" ht="36" customHeight="1" thickBot="1" x14ac:dyDescent="0.25">
      <c r="A29" s="33"/>
      <c r="B29" s="34" t="str">
        <f>'Control Entry'!N36</f>
        <v/>
      </c>
      <c r="C29" s="34" t="str">
        <f>'Control Entry'!O36</f>
        <v/>
      </c>
      <c r="D29" s="35"/>
      <c r="E29" s="36" t="str">
        <f>IF(ISBLANK('Control Entry'!H36),"",'Control Entry'!H36)</f>
        <v/>
      </c>
      <c r="F29" s="100" t="str">
        <f>IF(ISBLANK('Control Entry'!K36),"",'Control Entry'!K36)</f>
        <v/>
      </c>
      <c r="G29" s="99"/>
      <c r="H29" s="27" t="s">
        <v>29</v>
      </c>
      <c r="M29" s="123" t="s">
        <v>42</v>
      </c>
      <c r="N29" s="123"/>
      <c r="O29" s="123"/>
      <c r="P29" s="123"/>
      <c r="Q29" s="123"/>
      <c r="R29" s="123"/>
      <c r="S29" s="123"/>
      <c r="T29" s="123"/>
      <c r="U29" s="54"/>
    </row>
    <row r="30" spans="1:22" ht="36" customHeight="1" x14ac:dyDescent="0.2">
      <c r="A30" s="29"/>
      <c r="B30" s="30" t="str">
        <f>'Control Entry'!N37</f>
        <v/>
      </c>
      <c r="C30" s="30" t="str">
        <f>'Control Entry'!O37</f>
        <v/>
      </c>
      <c r="D30" s="37"/>
      <c r="E30" s="32" t="str">
        <f>IF(ISBLANK('Control Entry'!F37),"",'Control Entry'!F37)</f>
        <v/>
      </c>
      <c r="F30" s="96" t="str">
        <f>IF(ISBLANK('Control Entry'!I37),"",'Control Entry'!I37)</f>
        <v/>
      </c>
      <c r="G30" s="97"/>
      <c r="H30" s="27" t="s">
        <v>29</v>
      </c>
      <c r="M30" s="16"/>
      <c r="N30" s="20"/>
      <c r="O30" s="20"/>
      <c r="P30" s="21"/>
      <c r="Q30" s="102"/>
      <c r="R30" s="20"/>
      <c r="S30" s="20"/>
      <c r="T30" s="21"/>
      <c r="U30" s="22"/>
    </row>
    <row r="31" spans="1:22" ht="36" customHeight="1" x14ac:dyDescent="0.2">
      <c r="A31" s="38" t="str">
        <f>IF(ISBLANK('Control Entry'!D37),"",'Control Entry'!D37)</f>
        <v/>
      </c>
      <c r="B31" s="39" t="str">
        <f>'Control Entry'!N37</f>
        <v/>
      </c>
      <c r="C31" s="39" t="str">
        <f>'Control Entry'!O37</f>
        <v/>
      </c>
      <c r="D31" s="40" t="str">
        <f>IF(ISBLANK('Control Entry'!E37),"",'Control Entry'!E37)</f>
        <v/>
      </c>
      <c r="E31" s="32" t="str">
        <f>IF(ISBLANK('Control Entry'!G37),"",'Control Entry'!G37)</f>
        <v/>
      </c>
      <c r="F31" s="96" t="str">
        <f>IF(ISBLANK('Control Entry'!J37),"",'Control Entry'!J37)</f>
        <v/>
      </c>
      <c r="G31" s="97"/>
      <c r="H31" s="27" t="s">
        <v>29</v>
      </c>
      <c r="M31" s="17"/>
      <c r="N31" s="22"/>
      <c r="O31" s="22"/>
      <c r="P31" s="23"/>
      <c r="Q31" s="103"/>
      <c r="R31" s="22"/>
      <c r="S31" s="22"/>
      <c r="T31" s="23"/>
      <c r="U31" s="22"/>
    </row>
    <row r="32" spans="1:22" ht="36" customHeight="1" thickBot="1" x14ac:dyDescent="0.25">
      <c r="A32" s="33"/>
      <c r="B32" s="34" t="str">
        <f>'Control Entry'!N37</f>
        <v/>
      </c>
      <c r="C32" s="34" t="str">
        <f>'Control Entry'!O37</f>
        <v/>
      </c>
      <c r="D32" s="35"/>
      <c r="E32" s="36" t="str">
        <f>IF(ISBLANK('Control Entry'!H37),"",'Control Entry'!H37)</f>
        <v/>
      </c>
      <c r="F32" s="100" t="str">
        <f>IF(ISBLANK('Control Entry'!K37),"",'Control Entry'!K37)</f>
        <v/>
      </c>
      <c r="G32" s="99"/>
      <c r="H32" s="27" t="s">
        <v>29</v>
      </c>
      <c r="M32" s="137" t="s">
        <v>82</v>
      </c>
      <c r="N32" s="138"/>
      <c r="O32" s="138"/>
      <c r="P32" s="139"/>
      <c r="Q32" s="140">
        <f>'Control Entry'!B3</f>
        <v>44700</v>
      </c>
      <c r="R32" s="141"/>
      <c r="S32" s="141"/>
      <c r="T32" s="142"/>
      <c r="U32" s="22"/>
    </row>
    <row r="33" spans="1:22" ht="36" customHeight="1" x14ac:dyDescent="0.2">
      <c r="A33" s="130" t="s">
        <v>43</v>
      </c>
      <c r="B33" s="130"/>
      <c r="C33" s="130"/>
      <c r="D33" s="130"/>
      <c r="E33" s="130"/>
      <c r="F33" s="130"/>
      <c r="G33" s="130"/>
      <c r="H33" s="41"/>
      <c r="I33" s="41"/>
      <c r="M33" s="125" t="s">
        <v>86</v>
      </c>
      <c r="N33" s="126"/>
      <c r="O33" s="126"/>
      <c r="P33" s="126"/>
      <c r="Q33" s="127">
        <f>'Control Entry'!B4</f>
        <v>44840</v>
      </c>
      <c r="R33" s="128"/>
      <c r="S33" s="128"/>
      <c r="T33" s="128"/>
      <c r="U33" s="92"/>
      <c r="V33" s="57"/>
    </row>
    <row r="34" spans="1:22" ht="36" customHeight="1" x14ac:dyDescent="0.2">
      <c r="A34"/>
      <c r="O34" s="47"/>
      <c r="P34" s="47"/>
      <c r="Q34" s="47"/>
      <c r="R34" s="46"/>
    </row>
    <row r="35" spans="1:22" ht="36" customHeight="1" x14ac:dyDescent="0.2">
      <c r="A35"/>
      <c r="N35" s="123"/>
      <c r="O35" s="123"/>
      <c r="P35" s="123"/>
      <c r="Q35" s="123"/>
      <c r="R35" s="123"/>
      <c r="S35" s="123"/>
      <c r="T35" s="123"/>
      <c r="U35" s="12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DiqJ+JOYBhoyZ1m99XU4D8NDihYKDATVeEm7KPe0KaI0+RIl/s0HliAQDBep4bratR5dvcZSaZLG/PV3ddwAYA==" saltValue="BtrAYkICphSvoTgltO5kCQ==" spinCount="100000" sheet="1" objects="1" scenarios="1" formatCells="0" selectLockedCells="1"/>
  <mergeCells count="42">
    <mergeCell ref="L16:U16"/>
    <mergeCell ref="L22:N22"/>
    <mergeCell ref="S22:U22"/>
    <mergeCell ref="L11:N11"/>
    <mergeCell ref="S11:U11"/>
    <mergeCell ref="L12:N12"/>
    <mergeCell ref="S12:U12"/>
    <mergeCell ref="L13:N13"/>
    <mergeCell ref="R13:U13"/>
    <mergeCell ref="J21:U21"/>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M32:P32"/>
    <mergeCell ref="Q32:T32"/>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s>
  <phoneticPr fontId="16" type="noConversion"/>
  <conditionalFormatting sqref="P22:U24">
    <cfRule type="expression" dxfId="14" priority="4">
      <formula>$S$3="#2"</formula>
    </cfRule>
  </conditionalFormatting>
  <conditionalFormatting sqref="K27:V27">
    <cfRule type="expression" dxfId="13" priority="3">
      <formula>$S$3="#2"</formula>
    </cfRule>
  </conditionalFormatting>
  <conditionalFormatting sqref="J22:N22">
    <cfRule type="expression" dxfId="12" priority="2">
      <formula>$S$3="#2"</formula>
    </cfRule>
  </conditionalFormatting>
  <conditionalFormatting sqref="J21:U21">
    <cfRule type="expression" dxfId="11" priority="1">
      <formula>$S$3&lt;&gt;"#2"</formula>
    </cfRule>
  </conditionalFormatting>
  <printOptions horizontalCentered="1" verticalCentered="1"/>
  <pageMargins left="0.2" right="0.2" top="0.2" bottom="0.2" header="0.51" footer="0.51"/>
  <pageSetup scale="45"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zoomScale="92" zoomScaleNormal="92" zoomScalePageLayoutView="92" workbookViewId="0">
      <selection activeCell="F15" sqref="F15"/>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9" t="s">
        <v>74</v>
      </c>
      <c r="B1" s="129"/>
      <c r="C1" s="129"/>
      <c r="D1" s="129"/>
      <c r="E1" s="129"/>
      <c r="F1" s="129"/>
      <c r="G1" s="129"/>
      <c r="H1" s="27" t="s">
        <v>29</v>
      </c>
    </row>
    <row r="2" spans="1:22" ht="33.75" customHeight="1" thickBot="1" x14ac:dyDescent="0.25">
      <c r="A2" s="74" t="s">
        <v>30</v>
      </c>
      <c r="B2" s="9" t="s">
        <v>3</v>
      </c>
      <c r="C2" s="9" t="s">
        <v>4</v>
      </c>
      <c r="D2" s="9" t="s">
        <v>25</v>
      </c>
      <c r="E2" s="9" t="s">
        <v>31</v>
      </c>
      <c r="F2" s="9" t="s">
        <v>59</v>
      </c>
      <c r="G2" s="74" t="s">
        <v>32</v>
      </c>
      <c r="H2" s="27" t="s">
        <v>29</v>
      </c>
      <c r="K2" s="135" t="s">
        <v>55</v>
      </c>
      <c r="L2" s="135"/>
      <c r="M2" s="135"/>
      <c r="N2" s="135"/>
      <c r="O2" s="135"/>
      <c r="P2" s="135"/>
      <c r="Q2" s="135"/>
      <c r="R2" s="135"/>
      <c r="S2" s="135"/>
      <c r="T2" s="135"/>
      <c r="U2" s="135"/>
    </row>
    <row r="3" spans="1:22" ht="36" customHeight="1" x14ac:dyDescent="0.45">
      <c r="A3" s="29"/>
      <c r="B3" s="30" t="str">
        <f>'Control Entry'!N41</f>
        <v/>
      </c>
      <c r="C3" s="30" t="str">
        <f>'Control Entry'!O41</f>
        <v/>
      </c>
      <c r="D3" s="31"/>
      <c r="E3" s="32" t="str">
        <f>IF(ISBLANK('Control Entry'!F41),"",'Control Entry'!F41)</f>
        <v/>
      </c>
      <c r="F3" s="96" t="str">
        <f>IF(ISBLANK('Control Entry'!I41),"",'Control Entry'!I41)</f>
        <v/>
      </c>
      <c r="G3" s="97"/>
      <c r="H3" s="27" t="s">
        <v>29</v>
      </c>
      <c r="K3" s="14"/>
      <c r="O3" s="148" t="s">
        <v>73</v>
      </c>
      <c r="P3" s="148"/>
      <c r="Q3" s="148"/>
      <c r="R3" s="148"/>
      <c r="S3" s="85" t="str">
        <f>IF('Control Entry'!D41&lt;&gt;0,"#3",IF(AND('Control Entry'!D41=0,'Control Entry'!D54&lt;&gt;0),"#1",""))</f>
        <v/>
      </c>
      <c r="T3" s="86"/>
      <c r="U3" s="42"/>
    </row>
    <row r="4" spans="1:22" ht="36" customHeight="1" x14ac:dyDescent="0.2">
      <c r="A4" s="38" t="str">
        <f>IF(ISBLANK('Control Entry'!D41),"",'Control Entry'!D41)</f>
        <v/>
      </c>
      <c r="B4" s="39" t="str">
        <f>'Control Entry'!N41</f>
        <v/>
      </c>
      <c r="C4" s="39" t="str">
        <f>'Control Entry'!O41</f>
        <v/>
      </c>
      <c r="D4" s="40" t="str">
        <f>IF(ISBLANK('Control Entry'!E41),"",'Control Entry'!E41)</f>
        <v/>
      </c>
      <c r="E4" s="32" t="str">
        <f>IF(ISBLANK('Control Entry'!G41),"",'Control Entry'!G41)</f>
        <v/>
      </c>
      <c r="F4" s="96" t="str">
        <f>IF(ISBLANK('Control Entry'!J41),"",'Control Entry'!J41)</f>
        <v/>
      </c>
      <c r="G4" s="97"/>
      <c r="H4" s="27" t="s">
        <v>29</v>
      </c>
      <c r="K4" s="14"/>
      <c r="M4" s="131" t="str">
        <f>IF(ISBLANK(brevet),"",brevet&amp;" km Randonnée")</f>
        <v>200 km Randonnée</v>
      </c>
      <c r="N4" s="131"/>
      <c r="O4" s="131"/>
      <c r="P4" s="131"/>
      <c r="Q4" s="131"/>
      <c r="R4" s="131"/>
      <c r="S4" s="131"/>
      <c r="T4" s="131"/>
      <c r="U4" s="43"/>
    </row>
    <row r="5" spans="1:22" ht="36" customHeight="1" thickBot="1" x14ac:dyDescent="0.25">
      <c r="A5" s="33"/>
      <c r="B5" s="34" t="str">
        <f>'Control Entry'!N41</f>
        <v/>
      </c>
      <c r="C5" s="34" t="str">
        <f>'Control Entry'!O41</f>
        <v/>
      </c>
      <c r="D5" s="35"/>
      <c r="E5" s="36" t="str">
        <f>IF(ISBLANK('Control Entry'!H41),"",'Control Entry'!H41)</f>
        <v/>
      </c>
      <c r="F5" s="100" t="str">
        <f>IF(ISBLANK('Control Entry'!K41),"",'Control Entry'!K41)</f>
        <v/>
      </c>
      <c r="G5" s="99"/>
      <c r="H5" s="27" t="s">
        <v>29</v>
      </c>
      <c r="K5" s="14"/>
      <c r="M5" s="15"/>
      <c r="N5" s="146" t="s">
        <v>47</v>
      </c>
      <c r="O5" s="146"/>
      <c r="P5" s="61">
        <f>IF(ISBLANK(Brevet_Number),"",Brevet_Number)</f>
        <v>5165</v>
      </c>
      <c r="Q5" s="62"/>
      <c r="R5" s="134">
        <f>IF(ISBLANK('Control Entry'!$B10),"",'Control Entry'!$B10)</f>
        <v>44842</v>
      </c>
      <c r="S5" s="134"/>
      <c r="T5" s="134"/>
      <c r="U5" s="134"/>
      <c r="V5" s="44"/>
    </row>
    <row r="6" spans="1:22" ht="36" customHeight="1" x14ac:dyDescent="0.2">
      <c r="A6" s="29"/>
      <c r="B6" s="30" t="str">
        <f>'Control Entry'!N42</f>
        <v/>
      </c>
      <c r="C6" s="30" t="str">
        <f>'Control Entry'!O42</f>
        <v/>
      </c>
      <c r="D6" s="37"/>
      <c r="E6" s="32" t="str">
        <f>IF(ISBLANK('Control Entry'!F42),"",'Control Entry'!F42)</f>
        <v/>
      </c>
      <c r="F6" s="96" t="str">
        <f>IF(ISBLANK('Control Entry'!I42),"",'Control Entry'!I42)</f>
        <v/>
      </c>
      <c r="G6" s="97"/>
      <c r="H6" s="27" t="s">
        <v>29</v>
      </c>
      <c r="K6" s="14"/>
      <c r="L6" s="151" t="str">
        <f>IF(ISBLANK(Brevet_Description),"",Brevet_Description)</f>
        <v>Cove N Spit</v>
      </c>
      <c r="M6" s="151"/>
      <c r="N6" s="151"/>
      <c r="O6" s="151"/>
      <c r="P6" s="151"/>
      <c r="Q6" s="151"/>
      <c r="R6" s="151"/>
      <c r="S6" s="151"/>
      <c r="T6" s="151"/>
      <c r="U6" s="151"/>
    </row>
    <row r="7" spans="1:22" ht="36" customHeight="1" x14ac:dyDescent="0.2">
      <c r="A7" s="38" t="str">
        <f>IF(ISBLANK('Control Entry'!D42),"",'Control Entry'!D42)</f>
        <v/>
      </c>
      <c r="B7" s="39" t="str">
        <f>'Control Entry'!N42</f>
        <v/>
      </c>
      <c r="C7" s="39" t="str">
        <f>'Control Entry'!O42</f>
        <v/>
      </c>
      <c r="D7" s="40" t="str">
        <f>IF(ISBLANK('Control Entry'!E42),"",'Control Entry'!E42)</f>
        <v/>
      </c>
      <c r="E7" s="32" t="str">
        <f>IF(ISBLANK('Control Entry'!G42),"",'Control Entry'!G42)</f>
        <v/>
      </c>
      <c r="F7" s="96" t="str">
        <f>IF(ISBLANK('Control Entry'!J42),"",'Control Entry'!J42)</f>
        <v/>
      </c>
      <c r="G7" s="97"/>
      <c r="H7" s="27" t="s">
        <v>29</v>
      </c>
    </row>
    <row r="8" spans="1:22" ht="36" customHeight="1" thickBot="1" x14ac:dyDescent="0.25">
      <c r="A8" s="33"/>
      <c r="B8" s="34" t="str">
        <f>'Control Entry'!N42</f>
        <v/>
      </c>
      <c r="C8" s="34" t="str">
        <f>'Control Entry'!O42</f>
        <v/>
      </c>
      <c r="D8" s="35"/>
      <c r="E8" s="36" t="str">
        <f>IF(ISBLANK('Control Entry'!H42),"",'Control Entry'!H42)</f>
        <v/>
      </c>
      <c r="F8" s="100" t="str">
        <f>IF(ISBLANK('Control Entry'!K42),"",'Control Entry'!K42)</f>
        <v/>
      </c>
      <c r="G8" s="99"/>
      <c r="H8" s="27" t="s">
        <v>29</v>
      </c>
      <c r="J8" s="15" t="s">
        <v>34</v>
      </c>
      <c r="L8" s="136"/>
      <c r="M8" s="136"/>
      <c r="N8" s="136"/>
      <c r="O8" s="136"/>
      <c r="P8" s="136"/>
      <c r="Q8" s="136"/>
      <c r="R8" s="28"/>
      <c r="S8" s="45" t="s">
        <v>46</v>
      </c>
      <c r="T8" s="143"/>
      <c r="U8" s="143"/>
    </row>
    <row r="9" spans="1:22" ht="36" customHeight="1" thickBot="1" x14ac:dyDescent="0.3">
      <c r="A9" s="29"/>
      <c r="B9" s="30" t="str">
        <f>'Control Entry'!N43</f>
        <v/>
      </c>
      <c r="C9" s="30" t="str">
        <f>'Control Entry'!O43</f>
        <v/>
      </c>
      <c r="D9" s="37"/>
      <c r="E9" s="32" t="str">
        <f>IF(ISBLANK('Control Entry'!F43),"",'Control Entry'!F43)</f>
        <v/>
      </c>
      <c r="F9" s="96" t="str">
        <f>IF(ISBLANK('Control Entry'!I43),"",'Control Entry'!I43)</f>
        <v/>
      </c>
      <c r="G9" s="97"/>
      <c r="H9" s="27" t="s">
        <v>29</v>
      </c>
      <c r="J9" s="15" t="s">
        <v>35</v>
      </c>
      <c r="K9" s="15"/>
      <c r="L9" s="153" t="s">
        <v>54</v>
      </c>
      <c r="M9" s="153"/>
      <c r="N9" s="153"/>
      <c r="O9" s="153"/>
      <c r="P9" s="153"/>
      <c r="Q9" s="153"/>
      <c r="R9" s="153"/>
      <c r="S9" s="153"/>
      <c r="T9" s="153"/>
      <c r="U9" s="153"/>
    </row>
    <row r="10" spans="1:22" ht="36" customHeight="1" thickBot="1" x14ac:dyDescent="0.3">
      <c r="A10" s="38" t="str">
        <f>IF(ISBLANK('Control Entry'!D43),"",'Control Entry'!D43)</f>
        <v/>
      </c>
      <c r="B10" s="39" t="str">
        <f>'Control Entry'!N43</f>
        <v/>
      </c>
      <c r="C10" s="39" t="str">
        <f>'Control Entry'!O43</f>
        <v/>
      </c>
      <c r="D10" s="40" t="str">
        <f>IF(ISBLANK('Control Entry'!E43),"",'Control Entry'!E43)</f>
        <v/>
      </c>
      <c r="E10" s="32" t="str">
        <f>IF(ISBLANK('Control Entry'!G43),"",'Control Entry'!G43)</f>
        <v/>
      </c>
      <c r="F10" s="96" t="str">
        <f>IF(ISBLANK('Control Entry'!J43),"",'Control Entry'!J43)</f>
        <v/>
      </c>
      <c r="G10" s="97"/>
      <c r="H10" s="27" t="s">
        <v>29</v>
      </c>
      <c r="J10" s="15"/>
      <c r="K10" s="15"/>
      <c r="L10" s="145"/>
      <c r="M10" s="145"/>
      <c r="N10" s="145"/>
      <c r="O10" s="145"/>
      <c r="P10" s="145"/>
      <c r="Q10" s="145"/>
      <c r="R10" s="145"/>
      <c r="S10" s="145"/>
      <c r="T10" s="145"/>
      <c r="U10" s="145"/>
    </row>
    <row r="11" spans="1:22" ht="36" customHeight="1" thickBot="1" x14ac:dyDescent="0.3">
      <c r="A11" s="33"/>
      <c r="B11" s="34" t="str">
        <f>'Control Entry'!N43</f>
        <v/>
      </c>
      <c r="C11" s="34" t="str">
        <f>'Control Entry'!O43</f>
        <v/>
      </c>
      <c r="D11" s="35"/>
      <c r="E11" s="36" t="str">
        <f>IF(ISBLANK('Control Entry'!H43),"",'Control Entry'!H43)</f>
        <v/>
      </c>
      <c r="F11" s="100" t="str">
        <f>IF(ISBLANK('Control Entry'!K43),"",'Control Entry'!K43)</f>
        <v/>
      </c>
      <c r="G11" s="99"/>
      <c r="H11" s="27" t="s">
        <v>29</v>
      </c>
      <c r="J11" s="15" t="s">
        <v>36</v>
      </c>
      <c r="K11" s="15"/>
      <c r="L11" s="145"/>
      <c r="M11" s="145"/>
      <c r="N11" s="145"/>
      <c r="O11" s="18"/>
      <c r="P11" s="18" t="s">
        <v>37</v>
      </c>
      <c r="Q11" s="18"/>
      <c r="R11" s="18"/>
      <c r="S11" s="132"/>
      <c r="T11" s="132"/>
      <c r="U11" s="132"/>
    </row>
    <row r="12" spans="1:22" ht="36" customHeight="1" thickBot="1" x14ac:dyDescent="0.3">
      <c r="A12" s="29"/>
      <c r="B12" s="30" t="str">
        <f>'Control Entry'!N44</f>
        <v/>
      </c>
      <c r="C12" s="30" t="str">
        <f>'Control Entry'!O44</f>
        <v/>
      </c>
      <c r="D12" s="37"/>
      <c r="E12" s="32" t="str">
        <f>IF(ISBLANK('Control Entry'!F44),"",'Control Entry'!F44)</f>
        <v/>
      </c>
      <c r="F12" s="96" t="str">
        <f>IF(ISBLANK('Control Entry'!I44),"",'Control Entry'!I44)</f>
        <v/>
      </c>
      <c r="G12" s="97"/>
      <c r="H12" s="27" t="s">
        <v>29</v>
      </c>
      <c r="J12" s="15" t="s">
        <v>38</v>
      </c>
      <c r="K12" s="15"/>
      <c r="L12" s="145"/>
      <c r="M12" s="145"/>
      <c r="N12" s="145"/>
      <c r="O12" s="18"/>
      <c r="P12" s="18" t="s">
        <v>39</v>
      </c>
      <c r="Q12" s="18"/>
      <c r="R12" s="18"/>
      <c r="S12" s="132"/>
      <c r="T12" s="132"/>
      <c r="U12" s="132"/>
    </row>
    <row r="13" spans="1:22" ht="36" customHeight="1" thickBot="1" x14ac:dyDescent="0.3">
      <c r="A13" s="38" t="str">
        <f>IF(ISBLANK('Control Entry'!D44),"",'Control Entry'!D44)</f>
        <v/>
      </c>
      <c r="B13" s="39" t="str">
        <f>'Control Entry'!N44</f>
        <v/>
      </c>
      <c r="C13" s="39" t="str">
        <f>'Control Entry'!O44</f>
        <v/>
      </c>
      <c r="D13" s="40" t="str">
        <f>IF(ISBLANK('Control Entry'!E44),"",'Control Entry'!E44)</f>
        <v/>
      </c>
      <c r="E13" s="32" t="str">
        <f>IF(ISBLANK('Control Entry'!G44),"",'Control Entry'!G44)</f>
        <v/>
      </c>
      <c r="F13" s="96" t="str">
        <f>IF(ISBLANK('Control Entry'!J44),"",'Control Entry'!J44)</f>
        <v/>
      </c>
      <c r="G13" s="97"/>
      <c r="H13" s="27" t="s">
        <v>29</v>
      </c>
      <c r="J13" s="15" t="s">
        <v>40</v>
      </c>
      <c r="L13" s="156"/>
      <c r="M13" s="156"/>
      <c r="N13" s="156"/>
      <c r="O13" s="19"/>
      <c r="P13" s="18" t="s">
        <v>41</v>
      </c>
      <c r="Q13" s="18"/>
      <c r="R13" s="133"/>
      <c r="S13" s="133"/>
      <c r="T13" s="133"/>
      <c r="U13" s="133"/>
    </row>
    <row r="14" spans="1:22" ht="36" customHeight="1" thickBot="1" x14ac:dyDescent="0.25">
      <c r="A14" s="33"/>
      <c r="B14" s="34" t="str">
        <f>'Control Entry'!N44</f>
        <v/>
      </c>
      <c r="C14" s="34" t="str">
        <f>'Control Entry'!O44</f>
        <v/>
      </c>
      <c r="D14" s="35"/>
      <c r="E14" s="36" t="str">
        <f>IF(ISBLANK('Control Entry'!H44),"",'Control Entry'!H44)</f>
        <v/>
      </c>
      <c r="F14" s="100" t="str">
        <f>IF(ISBLANK('Control Entry'!K44),"",'Control Entry'!K44)</f>
        <v/>
      </c>
      <c r="G14" s="99"/>
      <c r="H14" s="27" t="s">
        <v>29</v>
      </c>
    </row>
    <row r="15" spans="1:22" ht="36" customHeight="1" x14ac:dyDescent="0.2">
      <c r="A15" s="29"/>
      <c r="B15" s="30" t="str">
        <f>'Control Entry'!N45</f>
        <v/>
      </c>
      <c r="C15" s="30" t="str">
        <f>'Control Entry'!O45</f>
        <v/>
      </c>
      <c r="D15" s="37"/>
      <c r="E15" s="32" t="str">
        <f>IF(ISBLANK('Control Entry'!F45),"",'Control Entry'!F45)</f>
        <v/>
      </c>
      <c r="F15" s="96" t="str">
        <f>IF(ISBLANK('Control Entry'!I45),"",'Control Entry'!I45)</f>
        <v/>
      </c>
      <c r="G15" s="97"/>
      <c r="H15" s="27" t="s">
        <v>29</v>
      </c>
      <c r="J15" s="15"/>
      <c r="L15" s="150" t="s">
        <v>58</v>
      </c>
      <c r="M15" s="150"/>
      <c r="N15" s="150"/>
      <c r="O15" s="150"/>
      <c r="P15" s="150"/>
      <c r="Q15" s="150"/>
      <c r="R15" s="150"/>
      <c r="S15" s="150"/>
      <c r="T15" s="150"/>
      <c r="U15" s="150"/>
    </row>
    <row r="16" spans="1:22" ht="36" customHeight="1" thickBot="1" x14ac:dyDescent="0.25">
      <c r="A16" s="38" t="str">
        <f>IF(ISBLANK('Control Entry'!D45),"",'Control Entry'!D45)</f>
        <v/>
      </c>
      <c r="B16" s="39" t="str">
        <f>'Control Entry'!N45</f>
        <v/>
      </c>
      <c r="C16" s="39" t="str">
        <f>'Control Entry'!O45</f>
        <v/>
      </c>
      <c r="D16" s="40" t="str">
        <f>IF(ISBLANK('Control Entry'!E45),"",'Control Entry'!E45)</f>
        <v/>
      </c>
      <c r="E16" s="32" t="str">
        <f>IF(ISBLANK('Control Entry'!G45),"",'Control Entry'!G45)</f>
        <v/>
      </c>
      <c r="F16" s="96" t="str">
        <f>IF(ISBLANK('Control Entry'!J45),"",'Control Entry'!J45)</f>
        <v/>
      </c>
      <c r="G16" s="97"/>
      <c r="H16" s="27" t="s">
        <v>29</v>
      </c>
      <c r="L16" s="159"/>
      <c r="M16" s="159"/>
      <c r="N16" s="159"/>
      <c r="O16" s="159"/>
      <c r="P16" s="159"/>
      <c r="Q16" s="159"/>
      <c r="R16" s="159"/>
      <c r="S16" s="159"/>
      <c r="T16" s="159"/>
      <c r="U16" s="159"/>
    </row>
    <row r="17" spans="1:22" ht="36" customHeight="1" thickBot="1" x14ac:dyDescent="0.25">
      <c r="A17" s="33"/>
      <c r="B17" s="34" t="str">
        <f>'Control Entry'!N45</f>
        <v/>
      </c>
      <c r="C17" s="34" t="str">
        <f>'Control Entry'!O45</f>
        <v/>
      </c>
      <c r="D17" s="35"/>
      <c r="E17" s="36" t="str">
        <f>IF(ISBLANK('Control Entry'!H45),"",'Control Entry'!H45)</f>
        <v/>
      </c>
      <c r="F17" s="100" t="str">
        <f>IF(ISBLANK('Control Entry'!K45),"",'Control Entry'!K45)</f>
        <v/>
      </c>
      <c r="G17" s="99"/>
      <c r="H17" s="27" t="s">
        <v>29</v>
      </c>
    </row>
    <row r="18" spans="1:22" ht="36" customHeight="1" x14ac:dyDescent="0.2">
      <c r="A18" s="29"/>
      <c r="B18" s="30" t="str">
        <f>'Control Entry'!N46</f>
        <v/>
      </c>
      <c r="C18" s="30" t="str">
        <f>'Control Entry'!O46</f>
        <v/>
      </c>
      <c r="D18" s="37"/>
      <c r="E18" s="32" t="str">
        <f>IF(ISBLANK('Control Entry'!F46),"",'Control Entry'!F46)</f>
        <v/>
      </c>
      <c r="F18" s="96" t="str">
        <f>IF(ISBLANK('Control Entry'!I46),"",'Control Entry'!I46)</f>
        <v/>
      </c>
      <c r="G18" s="97"/>
      <c r="H18" s="27" t="s">
        <v>29</v>
      </c>
    </row>
    <row r="19" spans="1:22" ht="36" customHeight="1" x14ac:dyDescent="0.2">
      <c r="A19" s="38" t="str">
        <f>IF(ISBLANK('Control Entry'!D46),"",'Control Entry'!D46)</f>
        <v/>
      </c>
      <c r="B19" s="39" t="str">
        <f>'Control Entry'!N46</f>
        <v/>
      </c>
      <c r="C19" s="39" t="str">
        <f>'Control Entry'!O46</f>
        <v/>
      </c>
      <c r="D19" s="40" t="str">
        <f>IF(ISBLANK('Control Entry'!E46),"",'Control Entry'!E46)</f>
        <v/>
      </c>
      <c r="E19" s="32" t="str">
        <f>IF(ISBLANK('Control Entry'!G46),"",'Control Entry'!G46)</f>
        <v/>
      </c>
      <c r="F19" s="96" t="str">
        <f>IF(ISBLANK('Control Entry'!J46),"",'Control Entry'!J46)</f>
        <v/>
      </c>
      <c r="G19" s="97"/>
      <c r="H19" s="27" t="s">
        <v>29</v>
      </c>
    </row>
    <row r="20" spans="1:22" ht="36" customHeight="1" thickBot="1" x14ac:dyDescent="0.25">
      <c r="A20" s="33"/>
      <c r="B20" s="34" t="str">
        <f>'Control Entry'!N46</f>
        <v/>
      </c>
      <c r="C20" s="34" t="str">
        <f>'Control Entry'!O46</f>
        <v/>
      </c>
      <c r="D20" s="35"/>
      <c r="E20" s="36" t="str">
        <f>IF(ISBLANK('Control Entry'!H46),"",'Control Entry'!H46)</f>
        <v/>
      </c>
      <c r="F20" s="100" t="str">
        <f>IF(ISBLANK('Control Entry'!K46),"",'Control Entry'!K46)</f>
        <v/>
      </c>
      <c r="G20" s="99"/>
      <c r="H20" s="27" t="s">
        <v>29</v>
      </c>
      <c r="J20" s="59" t="s">
        <v>44</v>
      </c>
      <c r="K20" s="59"/>
      <c r="L20" s="144">
        <f>IF(ISBLANK('Control Entry'!B12),"",'Control Entry'!B12)</f>
        <v>44842</v>
      </c>
      <c r="M20" s="144"/>
      <c r="N20" s="144"/>
      <c r="P20" s="18" t="s">
        <v>0</v>
      </c>
      <c r="Q20" s="18"/>
      <c r="S20" s="149">
        <f>IF(ISBLANK('Control Entry'!B13),"",'Control Entry'!B13)</f>
        <v>0.29166666666666669</v>
      </c>
      <c r="T20" s="149"/>
      <c r="U20" s="149"/>
    </row>
    <row r="21" spans="1:22" ht="36" customHeight="1" x14ac:dyDescent="0.2">
      <c r="A21" s="29"/>
      <c r="B21" s="30" t="str">
        <f>'Control Entry'!N47</f>
        <v/>
      </c>
      <c r="C21" s="30" t="str">
        <f>'Control Entry'!O47</f>
        <v/>
      </c>
      <c r="D21" s="37"/>
      <c r="E21" s="32" t="str">
        <f>IF(ISBLANK('Control Entry'!F47),"",'Control Entry'!F47)</f>
        <v/>
      </c>
      <c r="F21" s="96" t="str">
        <f>IF(ISBLANK('Control Entry'!I47),"",'Control Entry'!I47)</f>
        <v/>
      </c>
      <c r="G21" s="97"/>
      <c r="H21" s="27" t="s">
        <v>29</v>
      </c>
      <c r="J21" s="158" t="s">
        <v>90</v>
      </c>
      <c r="K21" s="158"/>
      <c r="L21" s="158"/>
      <c r="M21" s="158"/>
      <c r="N21" s="158"/>
      <c r="O21" s="158"/>
      <c r="P21" s="158"/>
      <c r="Q21" s="158"/>
      <c r="R21" s="158"/>
      <c r="S21" s="158"/>
      <c r="T21" s="158"/>
      <c r="U21" s="158"/>
      <c r="V21" s="28"/>
    </row>
    <row r="22" spans="1:22" ht="36" customHeight="1" thickBot="1" x14ac:dyDescent="0.25">
      <c r="A22" s="38" t="str">
        <f>IF(ISBLANK('Control Entry'!D47),"",'Control Entry'!D47)</f>
        <v/>
      </c>
      <c r="B22" s="39" t="str">
        <f>'Control Entry'!N47</f>
        <v/>
      </c>
      <c r="C22" s="39" t="str">
        <f>'Control Entry'!O47</f>
        <v/>
      </c>
      <c r="D22" s="40" t="str">
        <f>IF(ISBLANK('Control Entry'!E47),"",'Control Entry'!E47)</f>
        <v/>
      </c>
      <c r="E22" s="32" t="str">
        <f>IF(ISBLANK('Control Entry'!G47),"",'Control Entry'!G47)</f>
        <v/>
      </c>
      <c r="F22" s="96" t="str">
        <f>IF(ISBLANK('Control Entry'!J47),"",'Control Entry'!J47)</f>
        <v/>
      </c>
      <c r="G22" s="97"/>
      <c r="H22" s="27" t="s">
        <v>29</v>
      </c>
      <c r="J22" s="81" t="s">
        <v>45</v>
      </c>
      <c r="K22" s="81"/>
      <c r="L22" s="101"/>
      <c r="M22" s="101"/>
      <c r="N22" s="101"/>
      <c r="O22" s="19"/>
      <c r="P22" s="18" t="s">
        <v>1</v>
      </c>
      <c r="Q22" s="18"/>
      <c r="R22" s="19"/>
      <c r="S22" s="152"/>
      <c r="T22" s="152"/>
      <c r="U22" s="152"/>
    </row>
    <row r="23" spans="1:22" ht="36" customHeight="1" thickBot="1" x14ac:dyDescent="0.25">
      <c r="A23" s="33"/>
      <c r="B23" s="34" t="str">
        <f>'Control Entry'!N47</f>
        <v/>
      </c>
      <c r="C23" s="34" t="str">
        <f>'Control Entry'!O47</f>
        <v/>
      </c>
      <c r="D23" s="35"/>
      <c r="E23" s="36" t="str">
        <f>IF(ISBLANK('Control Entry'!H47),"",'Control Entry'!H47)</f>
        <v/>
      </c>
      <c r="F23" s="100" t="str">
        <f>IF(ISBLANK('Control Entry'!K47),"",'Control Entry'!K47)</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Entry'!N48</f>
        <v/>
      </c>
      <c r="C24" s="30" t="str">
        <f>'Control Entry'!O48</f>
        <v/>
      </c>
      <c r="D24" s="37"/>
      <c r="E24" s="32" t="str">
        <f>IF(ISBLANK('Control Entry'!F48),"",'Control Entry'!F48)</f>
        <v/>
      </c>
      <c r="F24" s="96" t="str">
        <f>IF(ISBLANK('Control Entry'!I48),"",'Control Entry'!I48)</f>
        <v/>
      </c>
      <c r="G24" s="97"/>
      <c r="H24" s="27" t="s">
        <v>29</v>
      </c>
      <c r="J24" s="152"/>
      <c r="K24" s="152"/>
      <c r="L24" s="152"/>
      <c r="M24" s="152"/>
      <c r="N24" s="152"/>
      <c r="O24" s="19"/>
      <c r="P24" s="18" t="s">
        <v>2</v>
      </c>
      <c r="Q24" s="18"/>
      <c r="R24" s="19"/>
      <c r="S24" s="152"/>
      <c r="T24" s="152"/>
      <c r="U24" s="152"/>
    </row>
    <row r="25" spans="1:22" ht="36" customHeight="1" x14ac:dyDescent="0.2">
      <c r="A25" s="38" t="str">
        <f>IF(ISBLANK('Control Entry'!D48),"",'Control Entry'!D48)</f>
        <v/>
      </c>
      <c r="B25" s="39" t="str">
        <f>'Control Entry'!N48</f>
        <v/>
      </c>
      <c r="C25" s="39" t="str">
        <f>'Control Entry'!O48</f>
        <v/>
      </c>
      <c r="D25" s="40" t="str">
        <f>IF(ISBLANK('Control Entry'!E48),"",'Control Entry'!E48)</f>
        <v/>
      </c>
      <c r="E25" s="32" t="str">
        <f>IF(ISBLANK('Control Entry'!G48),"",'Control Entry'!G48)</f>
        <v/>
      </c>
      <c r="F25" s="96" t="str">
        <f>IF(ISBLANK('Control Entry'!J48),"",'Control Entry'!J48)</f>
        <v/>
      </c>
      <c r="G25" s="97"/>
      <c r="H25" s="27" t="s">
        <v>29</v>
      </c>
      <c r="J25" s="147" t="s">
        <v>17</v>
      </c>
      <c r="K25" s="147"/>
      <c r="L25" s="147"/>
      <c r="M25" s="147"/>
      <c r="N25" s="147"/>
      <c r="O25" s="51"/>
      <c r="P25" s="124"/>
      <c r="Q25" s="124"/>
      <c r="R25" s="51"/>
      <c r="S25" s="122"/>
      <c r="T25" s="122"/>
      <c r="U25" s="122"/>
      <c r="V25" s="122"/>
    </row>
    <row r="26" spans="1:22" ht="36" customHeight="1" thickBot="1" x14ac:dyDescent="0.25">
      <c r="A26" s="33"/>
      <c r="B26" s="34" t="str">
        <f>'Control Entry'!N48</f>
        <v/>
      </c>
      <c r="C26" s="34" t="str">
        <f>'Control Entry'!O48</f>
        <v/>
      </c>
      <c r="D26" s="35"/>
      <c r="E26" s="36" t="str">
        <f>IF(ISBLANK('Control Entry'!H48),"",'Control Entry'!H48)</f>
        <v/>
      </c>
      <c r="F26" s="100" t="str">
        <f>IF(ISBLANK('Control Entry'!K48),"",'Control Entry'!K48)</f>
        <v/>
      </c>
      <c r="G26" s="99"/>
      <c r="H26" s="27" t="s">
        <v>29</v>
      </c>
    </row>
    <row r="27" spans="1:22" ht="36" customHeight="1" x14ac:dyDescent="0.2">
      <c r="A27" s="29"/>
      <c r="B27" s="30" t="str">
        <f>'Control Entry'!N49</f>
        <v/>
      </c>
      <c r="C27" s="30" t="str">
        <f>'Control Entry'!O49</f>
        <v/>
      </c>
      <c r="D27" s="37"/>
      <c r="E27" s="32" t="str">
        <f>IF(ISBLANK('Control Entry'!F49),"",'Control Entry'!F49)</f>
        <v/>
      </c>
      <c r="F27" s="96" t="str">
        <f>IF(ISBLANK('Control Entry'!I49),"",'Control Entry'!I49)</f>
        <v/>
      </c>
      <c r="G27" s="97"/>
      <c r="H27" s="27" t="s">
        <v>29</v>
      </c>
      <c r="K27" s="131" t="s">
        <v>56</v>
      </c>
      <c r="L27" s="124"/>
      <c r="M27" s="50" t="s">
        <v>57</v>
      </c>
      <c r="N27" s="124" t="s">
        <v>49</v>
      </c>
      <c r="O27" s="124"/>
      <c r="P27" s="124" t="s">
        <v>50</v>
      </c>
      <c r="Q27" s="124"/>
      <c r="R27" s="51" t="s">
        <v>51</v>
      </c>
      <c r="S27" s="122" t="s">
        <v>52</v>
      </c>
      <c r="T27" s="122"/>
      <c r="U27" s="122" t="s">
        <v>53</v>
      </c>
      <c r="V27" s="122"/>
    </row>
    <row r="28" spans="1:22" ht="36" customHeight="1" x14ac:dyDescent="0.2">
      <c r="A28" s="38" t="str">
        <f>IF(ISBLANK('Control Entry'!D49),"",'Control Entry'!D49)</f>
        <v/>
      </c>
      <c r="B28" s="39" t="str">
        <f>'Control Entry'!N49</f>
        <v/>
      </c>
      <c r="C28" s="39" t="str">
        <f>'Control Entry'!O49</f>
        <v/>
      </c>
      <c r="D28" s="40" t="str">
        <f>IF(ISBLANK('Control Entry'!E49),"",'Control Entry'!E49)</f>
        <v/>
      </c>
      <c r="E28" s="32" t="str">
        <f>IF(ISBLANK('Control Entry'!G49),"",'Control Entry'!G49)</f>
        <v/>
      </c>
      <c r="F28" s="96" t="str">
        <f>IF(ISBLANK('Control Entry'!J49),"",'Control Entry'!J49)</f>
        <v/>
      </c>
      <c r="G28" s="97"/>
      <c r="H28" s="27" t="s">
        <v>29</v>
      </c>
    </row>
    <row r="29" spans="1:22" ht="36" customHeight="1" thickBot="1" x14ac:dyDescent="0.25">
      <c r="A29" s="33"/>
      <c r="B29" s="34" t="str">
        <f>'Control Entry'!N49</f>
        <v/>
      </c>
      <c r="C29" s="34" t="str">
        <f>'Control Entry'!O49</f>
        <v/>
      </c>
      <c r="D29" s="35"/>
      <c r="E29" s="36" t="str">
        <f>IF(ISBLANK('Control Entry'!H49),"",'Control Entry'!H49)</f>
        <v/>
      </c>
      <c r="F29" s="100" t="str">
        <f>IF(ISBLANK('Control Entry'!K49),"",'Control Entry'!K49)</f>
        <v/>
      </c>
      <c r="G29" s="99"/>
      <c r="H29" s="27" t="s">
        <v>29</v>
      </c>
      <c r="M29" s="123" t="s">
        <v>42</v>
      </c>
      <c r="N29" s="123"/>
      <c r="O29" s="123"/>
      <c r="P29" s="123"/>
      <c r="Q29" s="123"/>
      <c r="R29" s="123"/>
      <c r="S29" s="123"/>
      <c r="T29" s="123"/>
      <c r="U29" s="54"/>
    </row>
    <row r="30" spans="1:22" ht="36" customHeight="1" x14ac:dyDescent="0.2">
      <c r="A30" s="29"/>
      <c r="B30" s="30" t="str">
        <f>'Control Entry'!N50</f>
        <v/>
      </c>
      <c r="C30" s="30" t="str">
        <f>'Control Entry'!O50</f>
        <v/>
      </c>
      <c r="D30" s="37"/>
      <c r="E30" s="32" t="str">
        <f>IF(ISBLANK('Control Entry'!F50),"",'Control Entry'!F50)</f>
        <v/>
      </c>
      <c r="F30" s="96" t="str">
        <f>IF(ISBLANK('Control Entry'!I50),"",'Control Entry'!I50)</f>
        <v/>
      </c>
      <c r="G30" s="97"/>
      <c r="H30" s="27" t="s">
        <v>29</v>
      </c>
      <c r="M30" s="16"/>
      <c r="N30" s="20"/>
      <c r="O30" s="20"/>
      <c r="P30" s="21"/>
      <c r="Q30" s="102"/>
      <c r="R30" s="20"/>
      <c r="S30" s="20"/>
      <c r="T30" s="21"/>
      <c r="U30" s="22"/>
    </row>
    <row r="31" spans="1:22" ht="36" customHeight="1" x14ac:dyDescent="0.2">
      <c r="A31" s="38" t="str">
        <f>IF(ISBLANK('Control Entry'!D50),"",'Control Entry'!D50)</f>
        <v/>
      </c>
      <c r="B31" s="39" t="str">
        <f>'Control Entry'!N50</f>
        <v/>
      </c>
      <c r="C31" s="39" t="str">
        <f>'Control Entry'!O50</f>
        <v/>
      </c>
      <c r="D31" s="40" t="str">
        <f>IF(ISBLANK('Control Entry'!E50),"",'Control Entry'!E50)</f>
        <v/>
      </c>
      <c r="E31" s="32" t="str">
        <f>IF(ISBLANK('Control Entry'!G50),"",'Control Entry'!G50)</f>
        <v/>
      </c>
      <c r="F31" s="96" t="str">
        <f>IF(ISBLANK('Control Entry'!J50),"",'Control Entry'!J50)</f>
        <v/>
      </c>
      <c r="G31" s="97"/>
      <c r="H31" s="27" t="s">
        <v>29</v>
      </c>
      <c r="M31" s="17"/>
      <c r="N31" s="22"/>
      <c r="O31" s="22"/>
      <c r="P31" s="23"/>
      <c r="Q31" s="103"/>
      <c r="R31" s="22"/>
      <c r="S31" s="22"/>
      <c r="T31" s="23"/>
      <c r="U31" s="22"/>
    </row>
    <row r="32" spans="1:22" ht="36" customHeight="1" thickBot="1" x14ac:dyDescent="0.25">
      <c r="A32" s="33"/>
      <c r="B32" s="34" t="str">
        <f>'Control Entry'!N50</f>
        <v/>
      </c>
      <c r="C32" s="34" t="str">
        <f>'Control Entry'!O50</f>
        <v/>
      </c>
      <c r="D32" s="35"/>
      <c r="E32" s="36" t="str">
        <f>IF(ISBLANK('Control Entry'!H50),"",'Control Entry'!H50)</f>
        <v/>
      </c>
      <c r="F32" s="100" t="str">
        <f>IF(ISBLANK('Control Entry'!K50),"",'Control Entry'!K50)</f>
        <v/>
      </c>
      <c r="G32" s="99"/>
      <c r="H32" s="27" t="s">
        <v>29</v>
      </c>
      <c r="M32" s="137" t="s">
        <v>82</v>
      </c>
      <c r="N32" s="138"/>
      <c r="O32" s="138"/>
      <c r="P32" s="139"/>
      <c r="Q32" s="140">
        <f>'Control Entry'!B3</f>
        <v>44700</v>
      </c>
      <c r="R32" s="141"/>
      <c r="S32" s="141"/>
      <c r="T32" s="142"/>
      <c r="U32" s="22"/>
    </row>
    <row r="33" spans="1:22" ht="36" customHeight="1" x14ac:dyDescent="0.2">
      <c r="A33" s="130" t="s">
        <v>43</v>
      </c>
      <c r="B33" s="130"/>
      <c r="C33" s="130"/>
      <c r="D33" s="130"/>
      <c r="E33" s="130"/>
      <c r="F33" s="130"/>
      <c r="G33" s="130"/>
      <c r="H33" s="41"/>
      <c r="I33" s="41"/>
      <c r="M33" s="125" t="s">
        <v>86</v>
      </c>
      <c r="N33" s="126"/>
      <c r="O33" s="126"/>
      <c r="P33" s="126"/>
      <c r="Q33" s="127">
        <f>'Control Entry'!B4</f>
        <v>44840</v>
      </c>
      <c r="R33" s="128"/>
      <c r="S33" s="128"/>
      <c r="T33" s="128"/>
      <c r="U33" s="91"/>
      <c r="V33" s="57"/>
    </row>
    <row r="34" spans="1:22" ht="36" customHeight="1" x14ac:dyDescent="0.2">
      <c r="A34"/>
      <c r="O34" s="47"/>
      <c r="P34" s="47"/>
      <c r="Q34" s="47"/>
      <c r="R34" s="46"/>
    </row>
    <row r="35" spans="1:22" ht="36" customHeight="1" x14ac:dyDescent="0.2">
      <c r="A35"/>
      <c r="N35" s="123"/>
      <c r="O35" s="123"/>
      <c r="P35" s="123"/>
      <c r="Q35" s="123"/>
      <c r="R35" s="123"/>
      <c r="S35" s="123"/>
      <c r="T35" s="123"/>
      <c r="U35" s="12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n04OlOPypxKiXZHfTF7SZ14P8gX/OWk/qktZJUCZqh+6Nv8BjLLr9UXJBNwuWtsY5jnC73Xiuu+JFtcLWZMoiA==" saltValue="FabpdyB7wrMR7nA5d9noMA==" spinCount="100000" sheet="1" objects="1" scenarios="1" formatCells="0" selectLockedCells="1"/>
  <mergeCells count="41">
    <mergeCell ref="S22:U22"/>
    <mergeCell ref="J24:N24"/>
    <mergeCell ref="S24:U24"/>
    <mergeCell ref="S11:U11"/>
    <mergeCell ref="L12:N12"/>
    <mergeCell ref="S12:U12"/>
    <mergeCell ref="L13:N13"/>
    <mergeCell ref="R13:U13"/>
    <mergeCell ref="J21:U21"/>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M32:P32"/>
    <mergeCell ref="Q32:T32"/>
    <mergeCell ref="A1:G1"/>
    <mergeCell ref="K2:U2"/>
    <mergeCell ref="M4:T4"/>
    <mergeCell ref="N5:O5"/>
    <mergeCell ref="R5:U5"/>
    <mergeCell ref="O3:R3"/>
    <mergeCell ref="L6:U6"/>
    <mergeCell ref="L8:Q8"/>
    <mergeCell ref="T8:U8"/>
    <mergeCell ref="L15:U15"/>
    <mergeCell ref="S20:U20"/>
    <mergeCell ref="L9:U9"/>
    <mergeCell ref="L10:U10"/>
    <mergeCell ref="L11:N11"/>
    <mergeCell ref="L16:U16"/>
  </mergeCells>
  <conditionalFormatting sqref="P22:U24">
    <cfRule type="expression" dxfId="10" priority="4">
      <formula>$S$3="#3"</formula>
    </cfRule>
  </conditionalFormatting>
  <conditionalFormatting sqref="J22:N22">
    <cfRule type="expression" dxfId="9" priority="3">
      <formula>$S$3="#3"</formula>
    </cfRule>
  </conditionalFormatting>
  <conditionalFormatting sqref="K27:V27">
    <cfRule type="expression" dxfId="8" priority="2">
      <formula>$S$3="#3"</formula>
    </cfRule>
  </conditionalFormatting>
  <conditionalFormatting sqref="J21:U21">
    <cfRule type="expression" dxfId="7" priority="1">
      <formula>$S$3&lt;&gt;"#3"</formula>
    </cfRule>
  </conditionalFormatting>
  <printOptions horizontalCentered="1" verticalCentered="1"/>
  <pageMargins left="0.2" right="0.2" top="0.2" bottom="0.2" header="0.51" footer="0.51"/>
  <pageSetup scale="45" orientation="landscape" horizontalDpi="4294967292" verticalDpi="4294967292"/>
  <ignoredErrors>
    <ignoredError sqref="L20" unlocked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6F177-8884-5D4F-9CF4-14229878B446}">
  <sheetPr>
    <pageSetUpPr fitToPage="1"/>
  </sheetPr>
  <dimension ref="A1:V40"/>
  <sheetViews>
    <sheetView showGridLines="0" zoomScale="92" zoomScaleNormal="92" zoomScalePageLayoutView="92" workbookViewId="0">
      <selection activeCell="L8" sqref="L8:Q8"/>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9" t="s">
        <v>74</v>
      </c>
      <c r="B1" s="129"/>
      <c r="C1" s="129"/>
      <c r="D1" s="129"/>
      <c r="E1" s="129"/>
      <c r="F1" s="129"/>
      <c r="G1" s="129"/>
      <c r="H1" s="27" t="s">
        <v>29</v>
      </c>
    </row>
    <row r="2" spans="1:22" ht="33.75" customHeight="1" thickBot="1" x14ac:dyDescent="0.25">
      <c r="A2" s="74" t="s">
        <v>30</v>
      </c>
      <c r="B2" s="9" t="s">
        <v>3</v>
      </c>
      <c r="C2" s="9" t="s">
        <v>4</v>
      </c>
      <c r="D2" s="9" t="s">
        <v>25</v>
      </c>
      <c r="E2" s="9" t="s">
        <v>31</v>
      </c>
      <c r="F2" s="9" t="s">
        <v>59</v>
      </c>
      <c r="G2" s="74" t="s">
        <v>32</v>
      </c>
      <c r="H2" s="27" t="s">
        <v>29</v>
      </c>
      <c r="K2" s="135" t="s">
        <v>55</v>
      </c>
      <c r="L2" s="135"/>
      <c r="M2" s="135"/>
      <c r="N2" s="135"/>
      <c r="O2" s="135"/>
      <c r="P2" s="135"/>
      <c r="Q2" s="135"/>
      <c r="R2" s="135"/>
      <c r="S2" s="135"/>
      <c r="T2" s="135"/>
      <c r="U2" s="135"/>
    </row>
    <row r="3" spans="1:22" ht="36" customHeight="1" x14ac:dyDescent="0.45">
      <c r="A3" s="29"/>
      <c r="B3" s="30" t="str">
        <f>'Control Entry'!N54</f>
        <v/>
      </c>
      <c r="C3" s="30" t="str">
        <f>'Control Entry'!O54</f>
        <v/>
      </c>
      <c r="D3" s="31"/>
      <c r="E3" s="32" t="str">
        <f>IF(ISBLANK('Control Entry'!F54),"",'Control Entry'!F54)</f>
        <v/>
      </c>
      <c r="F3" s="96" t="str">
        <f>IF(ISBLANK('Control Entry'!I54),"",'Control Entry'!I54)</f>
        <v/>
      </c>
      <c r="G3" s="97"/>
      <c r="H3" s="27" t="s">
        <v>29</v>
      </c>
      <c r="K3" s="14"/>
      <c r="O3" s="148" t="s">
        <v>73</v>
      </c>
      <c r="P3" s="148"/>
      <c r="Q3" s="148"/>
      <c r="R3" s="148"/>
      <c r="S3" s="85" t="str">
        <f>IF(AND('Control Entry'!D41=0,'Control Entry'!D54&lt;&gt;0),"#2",IF('Control Entry'!D54=0,"","#4"))</f>
        <v/>
      </c>
      <c r="T3" s="86"/>
      <c r="U3" s="42"/>
    </row>
    <row r="4" spans="1:22" ht="36" customHeight="1" x14ac:dyDescent="0.2">
      <c r="A4" s="38" t="str">
        <f>IF(ISBLANK('Control Entry'!D54),"",'Control Entry'!D54)</f>
        <v/>
      </c>
      <c r="B4" s="39" t="str">
        <f>'Control Entry'!N54</f>
        <v/>
      </c>
      <c r="C4" s="39" t="str">
        <f>'Control Entry'!O54</f>
        <v/>
      </c>
      <c r="D4" s="40" t="str">
        <f>IF(ISBLANK('Control Entry'!E54),"",'Control Entry'!E54)</f>
        <v/>
      </c>
      <c r="E4" s="32" t="str">
        <f>IF(ISBLANK('Control Entry'!G54),"",'Control Entry'!G54)</f>
        <v/>
      </c>
      <c r="F4" s="96" t="str">
        <f>IF(ISBLANK('Control Entry'!J54),"",'Control Entry'!J54)</f>
        <v/>
      </c>
      <c r="G4" s="97"/>
      <c r="H4" s="27" t="s">
        <v>29</v>
      </c>
      <c r="K4" s="14"/>
      <c r="M4" s="131" t="str">
        <f>IF(ISBLANK(brevet),"",brevet&amp;" km Randonnée")</f>
        <v>200 km Randonnée</v>
      </c>
      <c r="N4" s="131"/>
      <c r="O4" s="131"/>
      <c r="P4" s="131"/>
      <c r="Q4" s="131"/>
      <c r="R4" s="131"/>
      <c r="S4" s="131"/>
      <c r="T4" s="131"/>
      <c r="U4" s="43"/>
    </row>
    <row r="5" spans="1:22" ht="36" customHeight="1" thickBot="1" x14ac:dyDescent="0.25">
      <c r="A5" s="33"/>
      <c r="B5" s="34" t="str">
        <f>'Control Entry'!N54</f>
        <v/>
      </c>
      <c r="C5" s="34" t="str">
        <f>'Control Entry'!O54</f>
        <v/>
      </c>
      <c r="D5" s="35"/>
      <c r="E5" s="36" t="str">
        <f>IF(ISBLANK('Control Entry'!H54),"",'Control Entry'!H54)</f>
        <v/>
      </c>
      <c r="F5" s="100" t="str">
        <f>IF(ISBLANK('Control Entry'!K54),"",'Control Entry'!K54)</f>
        <v/>
      </c>
      <c r="G5" s="99"/>
      <c r="H5" s="27" t="s">
        <v>29</v>
      </c>
      <c r="K5" s="14"/>
      <c r="M5" s="15"/>
      <c r="N5" s="146" t="s">
        <v>47</v>
      </c>
      <c r="O5" s="146"/>
      <c r="P5" s="61">
        <f>IF(ISBLANK(Brevet_Number),"",Brevet_Number)</f>
        <v>5165</v>
      </c>
      <c r="Q5" s="62"/>
      <c r="R5" s="134">
        <f>IF(ISBLANK('Control Entry'!$B10),"",'Control Entry'!$B10)</f>
        <v>44842</v>
      </c>
      <c r="S5" s="134"/>
      <c r="T5" s="134"/>
      <c r="U5" s="134"/>
      <c r="V5" s="44"/>
    </row>
    <row r="6" spans="1:22" ht="36" customHeight="1" x14ac:dyDescent="0.2">
      <c r="A6" s="29"/>
      <c r="B6" s="30" t="str">
        <f>'Control Entry'!N55</f>
        <v/>
      </c>
      <c r="C6" s="30" t="str">
        <f>'Control Entry'!O55</f>
        <v/>
      </c>
      <c r="D6" s="37"/>
      <c r="E6" s="32" t="str">
        <f>IF(ISBLANK('Control Entry'!F55),"",'Control Entry'!F55)</f>
        <v/>
      </c>
      <c r="F6" s="96" t="str">
        <f>IF(ISBLANK('Control Entry'!I55),"",'Control Entry'!I55)</f>
        <v/>
      </c>
      <c r="G6" s="97"/>
      <c r="H6" s="27" t="s">
        <v>29</v>
      </c>
      <c r="K6" s="14"/>
      <c r="L6" s="151" t="str">
        <f>IF(ISBLANK(Brevet_Description),"",Brevet_Description)</f>
        <v>Cove N Spit</v>
      </c>
      <c r="M6" s="151"/>
      <c r="N6" s="151"/>
      <c r="O6" s="151"/>
      <c r="P6" s="151"/>
      <c r="Q6" s="151"/>
      <c r="R6" s="151"/>
      <c r="S6" s="151"/>
      <c r="T6" s="151"/>
      <c r="U6" s="151"/>
    </row>
    <row r="7" spans="1:22" ht="36" customHeight="1" x14ac:dyDescent="0.2">
      <c r="A7" s="38" t="str">
        <f>IF(ISBLANK('Control Entry'!D55),"",'Control Entry'!D55)</f>
        <v/>
      </c>
      <c r="B7" s="39" t="str">
        <f>'Control Entry'!N55</f>
        <v/>
      </c>
      <c r="C7" s="39" t="str">
        <f>'Control Entry'!O55</f>
        <v/>
      </c>
      <c r="D7" s="40" t="str">
        <f>IF(ISBLANK('Control Entry'!E55),"",'Control Entry'!E55)</f>
        <v/>
      </c>
      <c r="E7" s="32" t="str">
        <f>IF(ISBLANK('Control Entry'!G55),"",'Control Entry'!G55)</f>
        <v/>
      </c>
      <c r="F7" s="96" t="str">
        <f>IF(ISBLANK('Control Entry'!J55),"",'Control Entry'!J55)</f>
        <v/>
      </c>
      <c r="G7" s="97"/>
      <c r="H7" s="27" t="s">
        <v>29</v>
      </c>
    </row>
    <row r="8" spans="1:22" ht="36" customHeight="1" thickBot="1" x14ac:dyDescent="0.25">
      <c r="A8" s="33"/>
      <c r="B8" s="34" t="str">
        <f>'Control Entry'!N55</f>
        <v/>
      </c>
      <c r="C8" s="34" t="str">
        <f>'Control Entry'!O55</f>
        <v/>
      </c>
      <c r="D8" s="35"/>
      <c r="E8" s="36" t="str">
        <f>IF(ISBLANK('Control Entry'!H55),"",'Control Entry'!H55)</f>
        <v/>
      </c>
      <c r="F8" s="100" t="str">
        <f>IF(ISBLANK('Control Entry'!K55),"",'Control Entry'!K55)</f>
        <v/>
      </c>
      <c r="G8" s="99"/>
      <c r="H8" s="27" t="s">
        <v>29</v>
      </c>
      <c r="J8" s="15" t="s">
        <v>34</v>
      </c>
      <c r="L8" s="136"/>
      <c r="M8" s="136"/>
      <c r="N8" s="136"/>
      <c r="O8" s="136"/>
      <c r="P8" s="136"/>
      <c r="Q8" s="136"/>
      <c r="R8" s="28"/>
      <c r="S8" s="45" t="s">
        <v>46</v>
      </c>
      <c r="T8" s="143"/>
      <c r="U8" s="143"/>
    </row>
    <row r="9" spans="1:22" ht="36" customHeight="1" thickBot="1" x14ac:dyDescent="0.3">
      <c r="A9" s="29"/>
      <c r="B9" s="30" t="str">
        <f>'Control Entry'!N56</f>
        <v/>
      </c>
      <c r="C9" s="30" t="str">
        <f>'Control Entry'!O56</f>
        <v/>
      </c>
      <c r="D9" s="37"/>
      <c r="E9" s="32" t="str">
        <f>IF(ISBLANK('Control Entry'!F56),"",'Control Entry'!F56)</f>
        <v/>
      </c>
      <c r="F9" s="96" t="str">
        <f>IF(ISBLANK('Control Entry'!I56),"",'Control Entry'!I56)</f>
        <v/>
      </c>
      <c r="G9" s="97"/>
      <c r="H9" s="27" t="s">
        <v>29</v>
      </c>
      <c r="J9" s="15" t="s">
        <v>35</v>
      </c>
      <c r="K9" s="15"/>
      <c r="L9" s="153" t="s">
        <v>54</v>
      </c>
      <c r="M9" s="153"/>
      <c r="N9" s="153"/>
      <c r="O9" s="153"/>
      <c r="P9" s="153"/>
      <c r="Q9" s="153"/>
      <c r="R9" s="153"/>
      <c r="S9" s="153"/>
      <c r="T9" s="153"/>
      <c r="U9" s="153"/>
    </row>
    <row r="10" spans="1:22" ht="36" customHeight="1" thickBot="1" x14ac:dyDescent="0.3">
      <c r="A10" s="38" t="str">
        <f>IF(ISBLANK('Control Entry'!D56),"",'Control Entry'!D56)</f>
        <v/>
      </c>
      <c r="B10" s="39" t="str">
        <f>'Control Entry'!N56</f>
        <v/>
      </c>
      <c r="C10" s="39" t="str">
        <f>'Control Entry'!O56</f>
        <v/>
      </c>
      <c r="D10" s="40" t="str">
        <f>IF(ISBLANK('Control Entry'!E56),"",'Control Entry'!E56)</f>
        <v/>
      </c>
      <c r="E10" s="32" t="str">
        <f>IF(ISBLANK('Control Entry'!G56),"",'Control Entry'!G56)</f>
        <v/>
      </c>
      <c r="F10" s="96" t="str">
        <f>IF(ISBLANK('Control Entry'!J56),"",'Control Entry'!J56)</f>
        <v/>
      </c>
      <c r="G10" s="97"/>
      <c r="H10" s="27" t="s">
        <v>29</v>
      </c>
      <c r="J10" s="15"/>
      <c r="K10" s="15"/>
      <c r="L10" s="145"/>
      <c r="M10" s="145"/>
      <c r="N10" s="145"/>
      <c r="O10" s="145"/>
      <c r="P10" s="145"/>
      <c r="Q10" s="145"/>
      <c r="R10" s="145"/>
      <c r="S10" s="145"/>
      <c r="T10" s="145"/>
      <c r="U10" s="145"/>
    </row>
    <row r="11" spans="1:22" ht="36" customHeight="1" thickBot="1" x14ac:dyDescent="0.3">
      <c r="A11" s="33"/>
      <c r="B11" s="34" t="str">
        <f>'Control Entry'!N56</f>
        <v/>
      </c>
      <c r="C11" s="34" t="str">
        <f>'Control Entry'!O56</f>
        <v/>
      </c>
      <c r="D11" s="35"/>
      <c r="E11" s="36" t="str">
        <f>IF(ISBLANK('Control Entry'!H56),"",'Control Entry'!H56)</f>
        <v/>
      </c>
      <c r="F11" s="100" t="str">
        <f>IF(ISBLANK('Control Entry'!K56),"",'Control Entry'!K56)</f>
        <v/>
      </c>
      <c r="G11" s="99"/>
      <c r="H11" s="27" t="s">
        <v>29</v>
      </c>
      <c r="J11" s="15" t="s">
        <v>36</v>
      </c>
      <c r="K11" s="15"/>
      <c r="L11" s="145"/>
      <c r="M11" s="145"/>
      <c r="N11" s="145"/>
      <c r="O11" s="18"/>
      <c r="P11" s="18" t="s">
        <v>37</v>
      </c>
      <c r="Q11" s="18"/>
      <c r="R11" s="18"/>
      <c r="S11" s="132"/>
      <c r="T11" s="132"/>
      <c r="U11" s="132"/>
    </row>
    <row r="12" spans="1:22" ht="36" customHeight="1" thickBot="1" x14ac:dyDescent="0.3">
      <c r="A12" s="29"/>
      <c r="B12" s="30" t="str">
        <f>'Control Entry'!N57</f>
        <v/>
      </c>
      <c r="C12" s="30" t="str">
        <f>'Control Entry'!O57</f>
        <v/>
      </c>
      <c r="D12" s="37"/>
      <c r="E12" s="32" t="str">
        <f>IF(ISBLANK('Control Entry'!F57),"",'Control Entry'!F57)</f>
        <v/>
      </c>
      <c r="F12" s="96" t="str">
        <f>IF(ISBLANK('Control Entry'!I57),"",'Control Entry'!I57)</f>
        <v/>
      </c>
      <c r="G12" s="97"/>
      <c r="H12" s="27" t="s">
        <v>29</v>
      </c>
      <c r="J12" s="15" t="s">
        <v>38</v>
      </c>
      <c r="K12" s="15"/>
      <c r="L12" s="145"/>
      <c r="M12" s="145"/>
      <c r="N12" s="145"/>
      <c r="O12" s="18"/>
      <c r="P12" s="18" t="s">
        <v>39</v>
      </c>
      <c r="Q12" s="18"/>
      <c r="R12" s="18"/>
      <c r="S12" s="132"/>
      <c r="T12" s="132"/>
      <c r="U12" s="132"/>
    </row>
    <row r="13" spans="1:22" ht="36" customHeight="1" thickBot="1" x14ac:dyDescent="0.3">
      <c r="A13" s="38" t="str">
        <f>IF(ISBLANK('Control Entry'!D57),"",'Control Entry'!D57)</f>
        <v/>
      </c>
      <c r="B13" s="39" t="str">
        <f>'Control Entry'!N57</f>
        <v/>
      </c>
      <c r="C13" s="39" t="str">
        <f>'Control Entry'!O57</f>
        <v/>
      </c>
      <c r="D13" s="40" t="str">
        <f>IF(ISBLANK('Control Entry'!E57),"",'Control Entry'!E57)</f>
        <v/>
      </c>
      <c r="E13" s="32" t="str">
        <f>IF(ISBLANK('Control Entry'!G57),"",'Control Entry'!G57)</f>
        <v/>
      </c>
      <c r="F13" s="96" t="str">
        <f>IF(ISBLANK('Control Entry'!J57),"",'Control Entry'!J57)</f>
        <v/>
      </c>
      <c r="G13" s="97"/>
      <c r="H13" s="27" t="s">
        <v>29</v>
      </c>
      <c r="J13" s="15" t="s">
        <v>40</v>
      </c>
      <c r="L13" s="156"/>
      <c r="M13" s="156"/>
      <c r="N13" s="156"/>
      <c r="O13" s="19"/>
      <c r="P13" s="18" t="s">
        <v>41</v>
      </c>
      <c r="Q13" s="18"/>
      <c r="R13" s="133"/>
      <c r="S13" s="133"/>
      <c r="T13" s="133"/>
      <c r="U13" s="133"/>
    </row>
    <row r="14" spans="1:22" ht="36" customHeight="1" thickBot="1" x14ac:dyDescent="0.25">
      <c r="A14" s="33"/>
      <c r="B14" s="34" t="str">
        <f>'Control Entry'!N57</f>
        <v/>
      </c>
      <c r="C14" s="34" t="str">
        <f>'Control Entry'!O57</f>
        <v/>
      </c>
      <c r="D14" s="35"/>
      <c r="E14" s="36" t="str">
        <f>IF(ISBLANK('Control Entry'!H57),"",'Control Entry'!H57)</f>
        <v/>
      </c>
      <c r="F14" s="100" t="str">
        <f>IF(ISBLANK('Control Entry'!K57),"",'Control Entry'!K57)</f>
        <v/>
      </c>
      <c r="G14" s="99"/>
      <c r="H14" s="27" t="s">
        <v>29</v>
      </c>
    </row>
    <row r="15" spans="1:22" ht="36" customHeight="1" x14ac:dyDescent="0.2">
      <c r="A15" s="29"/>
      <c r="B15" s="30" t="str">
        <f>'Control Entry'!N58</f>
        <v/>
      </c>
      <c r="C15" s="30" t="str">
        <f>'Control Entry'!O58</f>
        <v/>
      </c>
      <c r="D15" s="37"/>
      <c r="E15" s="32" t="str">
        <f>IF(ISBLANK('Control Entry'!F58),"",'Control Entry'!F58)</f>
        <v/>
      </c>
      <c r="F15" s="96" t="str">
        <f>IF(ISBLANK('Control Entry'!I58),"",'Control Entry'!I58)</f>
        <v/>
      </c>
      <c r="G15" s="97"/>
      <c r="H15" s="27" t="s">
        <v>29</v>
      </c>
      <c r="J15" s="15"/>
      <c r="L15" s="150" t="s">
        <v>58</v>
      </c>
      <c r="M15" s="150"/>
      <c r="N15" s="150"/>
      <c r="O15" s="150"/>
      <c r="P15" s="150"/>
      <c r="Q15" s="150"/>
      <c r="R15" s="150"/>
      <c r="S15" s="150"/>
      <c r="T15" s="150"/>
      <c r="U15" s="150"/>
    </row>
    <row r="16" spans="1:22" ht="36" customHeight="1" thickBot="1" x14ac:dyDescent="0.25">
      <c r="A16" s="38" t="str">
        <f>IF(ISBLANK('Control Entry'!D58),"",'Control Entry'!D58)</f>
        <v/>
      </c>
      <c r="B16" s="39" t="str">
        <f>'Control Entry'!N58</f>
        <v/>
      </c>
      <c r="C16" s="39" t="str">
        <f>'Control Entry'!O58</f>
        <v/>
      </c>
      <c r="D16" s="40" t="str">
        <f>IF(ISBLANK('Control Entry'!E58),"",'Control Entry'!E58)</f>
        <v/>
      </c>
      <c r="E16" s="32" t="str">
        <f>IF(ISBLANK('Control Entry'!G58),"",'Control Entry'!G58)</f>
        <v/>
      </c>
      <c r="F16" s="96" t="str">
        <f>IF(ISBLANK('Control Entry'!J58),"",'Control Entry'!J58)</f>
        <v/>
      </c>
      <c r="G16" s="97"/>
      <c r="H16" s="27" t="s">
        <v>29</v>
      </c>
      <c r="L16" s="159"/>
      <c r="M16" s="159"/>
      <c r="N16" s="159"/>
      <c r="O16" s="159"/>
      <c r="P16" s="159"/>
      <c r="Q16" s="159"/>
      <c r="R16" s="159"/>
      <c r="S16" s="159"/>
      <c r="T16" s="159"/>
      <c r="U16" s="159"/>
    </row>
    <row r="17" spans="1:22" ht="36" customHeight="1" thickBot="1" x14ac:dyDescent="0.25">
      <c r="A17" s="33"/>
      <c r="B17" s="34" t="str">
        <f>'Control Entry'!N58</f>
        <v/>
      </c>
      <c r="C17" s="34" t="str">
        <f>'Control Entry'!O58</f>
        <v/>
      </c>
      <c r="D17" s="35"/>
      <c r="E17" s="36" t="str">
        <f>IF(ISBLANK('Control Entry'!H58),"",'Control Entry'!H58)</f>
        <v/>
      </c>
      <c r="F17" s="100" t="str">
        <f>IF(ISBLANK('Control Entry'!K58),"",'Control Entry'!K58)</f>
        <v/>
      </c>
      <c r="G17" s="99"/>
      <c r="H17" s="27" t="s">
        <v>29</v>
      </c>
    </row>
    <row r="18" spans="1:22" ht="36" customHeight="1" x14ac:dyDescent="0.2">
      <c r="A18" s="29"/>
      <c r="B18" s="30" t="str">
        <f>'Control Entry'!N59</f>
        <v/>
      </c>
      <c r="C18" s="30" t="str">
        <f>'Control Entry'!O59</f>
        <v/>
      </c>
      <c r="D18" s="37"/>
      <c r="E18" s="32" t="str">
        <f>IF(ISBLANK('Control Entry'!F59),"",'Control Entry'!F59)</f>
        <v/>
      </c>
      <c r="F18" s="96" t="str">
        <f>IF(ISBLANK('Control Entry'!I59),"",'Control Entry'!I59)</f>
        <v/>
      </c>
      <c r="G18" s="97"/>
      <c r="H18" s="27" t="s">
        <v>29</v>
      </c>
    </row>
    <row r="19" spans="1:22" ht="36" customHeight="1" x14ac:dyDescent="0.2">
      <c r="A19" s="38" t="str">
        <f>IF(ISBLANK('Control Entry'!D59),"",'Control Entry'!D59)</f>
        <v/>
      </c>
      <c r="B19" s="39" t="str">
        <f>'Control Entry'!N59</f>
        <v/>
      </c>
      <c r="C19" s="39" t="str">
        <f>'Control Entry'!O59</f>
        <v/>
      </c>
      <c r="D19" s="40" t="str">
        <f>IF(ISBLANK('Control Entry'!E59),"",'Control Entry'!E59)</f>
        <v/>
      </c>
      <c r="E19" s="32" t="str">
        <f>IF(ISBLANK('Control Entry'!G59),"",'Control Entry'!G59)</f>
        <v/>
      </c>
      <c r="F19" s="96" t="str">
        <f>IF(ISBLANK('Control Entry'!J59),"",'Control Entry'!J59)</f>
        <v/>
      </c>
      <c r="G19" s="97"/>
      <c r="H19" s="27" t="s">
        <v>29</v>
      </c>
    </row>
    <row r="20" spans="1:22" ht="36" customHeight="1" thickBot="1" x14ac:dyDescent="0.25">
      <c r="A20" s="33"/>
      <c r="B20" s="34" t="str">
        <f>'Control Entry'!N59</f>
        <v/>
      </c>
      <c r="C20" s="34" t="str">
        <f>'Control Entry'!O59</f>
        <v/>
      </c>
      <c r="D20" s="35"/>
      <c r="E20" s="36" t="str">
        <f>IF(ISBLANK('Control Entry'!H59),"",'Control Entry'!H59)</f>
        <v/>
      </c>
      <c r="F20" s="100" t="str">
        <f>IF(ISBLANK('Control Entry'!K59),"",'Control Entry'!K59)</f>
        <v/>
      </c>
      <c r="G20" s="99"/>
      <c r="H20" s="27" t="s">
        <v>29</v>
      </c>
      <c r="J20" s="59" t="s">
        <v>44</v>
      </c>
      <c r="K20" s="59"/>
      <c r="L20" s="144">
        <f>IF(ISBLANK('Control Entry'!B12),"",'Control Entry'!B12)</f>
        <v>44842</v>
      </c>
      <c r="M20" s="144"/>
      <c r="N20" s="144"/>
      <c r="P20" s="18" t="s">
        <v>0</v>
      </c>
      <c r="Q20" s="18"/>
      <c r="S20" s="149">
        <f>IF(ISBLANK('Control Entry'!B13),"",'Control Entry'!B13)</f>
        <v>0.29166666666666669</v>
      </c>
      <c r="T20" s="149"/>
      <c r="U20" s="149"/>
    </row>
    <row r="21" spans="1:22" ht="36" customHeight="1" x14ac:dyDescent="0.2">
      <c r="A21" s="29"/>
      <c r="B21" s="30" t="str">
        <f>'Control Entry'!N60</f>
        <v/>
      </c>
      <c r="C21" s="30" t="str">
        <f>'Control Entry'!O60</f>
        <v/>
      </c>
      <c r="D21" s="37"/>
      <c r="E21" s="32" t="str">
        <f>IF(ISBLANK('Control Entry'!F60),"",'Control Entry'!F60)</f>
        <v/>
      </c>
      <c r="F21" s="96" t="str">
        <f>IF(ISBLANK('Control Entry'!I60),"",'Control Entry'!I60)</f>
        <v/>
      </c>
      <c r="G21" s="97"/>
      <c r="H21" s="27" t="s">
        <v>29</v>
      </c>
      <c r="J21" s="158" t="s">
        <v>90</v>
      </c>
      <c r="K21" s="158"/>
      <c r="L21" s="158"/>
      <c r="M21" s="158"/>
      <c r="N21" s="158"/>
      <c r="O21" s="158"/>
      <c r="P21" s="158"/>
      <c r="Q21" s="158"/>
      <c r="R21" s="158"/>
      <c r="S21" s="158"/>
      <c r="T21" s="158"/>
      <c r="U21" s="158"/>
      <c r="V21" s="28"/>
    </row>
    <row r="22" spans="1:22" ht="36" customHeight="1" thickBot="1" x14ac:dyDescent="0.25">
      <c r="A22" s="38" t="str">
        <f>IF(ISBLANK('Control Entry'!D60),"",'Control Entry'!D60)</f>
        <v/>
      </c>
      <c r="B22" s="39" t="str">
        <f>'Control Entry'!N60</f>
        <v/>
      </c>
      <c r="C22" s="39" t="str">
        <f>'Control Entry'!O60</f>
        <v/>
      </c>
      <c r="D22" s="40" t="str">
        <f>IF(ISBLANK('Control Entry'!E60),"",'Control Entry'!E60)</f>
        <v/>
      </c>
      <c r="E22" s="32" t="str">
        <f>IF(ISBLANK('Control Entry'!G60),"",'Control Entry'!G60)</f>
        <v/>
      </c>
      <c r="F22" s="96" t="str">
        <f>IF(ISBLANK('Control Entry'!J60),"",'Control Entry'!J60)</f>
        <v/>
      </c>
      <c r="G22" s="97"/>
      <c r="H22" s="27" t="s">
        <v>29</v>
      </c>
      <c r="J22" s="18" t="s">
        <v>45</v>
      </c>
      <c r="K22" s="18"/>
      <c r="L22" s="19"/>
      <c r="M22" s="152"/>
      <c r="N22" s="152"/>
      <c r="O22" s="152"/>
      <c r="P22" s="18" t="s">
        <v>1</v>
      </c>
      <c r="Q22" s="18"/>
      <c r="R22" s="19"/>
      <c r="S22" s="152"/>
      <c r="T22" s="152"/>
      <c r="U22" s="152"/>
    </row>
    <row r="23" spans="1:22" ht="36" customHeight="1" thickBot="1" x14ac:dyDescent="0.25">
      <c r="A23" s="33"/>
      <c r="B23" s="34" t="str">
        <f>'Control Entry'!N60</f>
        <v/>
      </c>
      <c r="C23" s="34" t="str">
        <f>'Control Entry'!O60</f>
        <v/>
      </c>
      <c r="D23" s="35"/>
      <c r="E23" s="36" t="str">
        <f>IF(ISBLANK('Control Entry'!H60),"",'Control Entry'!H60)</f>
        <v/>
      </c>
      <c r="F23" s="100" t="str">
        <f>IF(ISBLANK('Control Entry'!K60),"",'Control Entry'!K60)</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Entry'!N61</f>
        <v/>
      </c>
      <c r="C24" s="30" t="str">
        <f>'Control Entry'!O61</f>
        <v/>
      </c>
      <c r="D24" s="37"/>
      <c r="E24" s="32" t="str">
        <f>IF(ISBLANK('Control Entry'!F61),"",'Control Entry'!F61)</f>
        <v/>
      </c>
      <c r="F24" s="96" t="str">
        <f>IF(ISBLANK('Control Entry'!I61),"",'Control Entry'!I61)</f>
        <v/>
      </c>
      <c r="G24" s="97"/>
      <c r="H24" s="27" t="s">
        <v>29</v>
      </c>
      <c r="J24" s="152"/>
      <c r="K24" s="152"/>
      <c r="L24" s="152"/>
      <c r="M24" s="152"/>
      <c r="N24" s="152"/>
      <c r="O24" s="19"/>
      <c r="P24" s="18" t="s">
        <v>2</v>
      </c>
      <c r="Q24" s="18"/>
      <c r="R24" s="19"/>
      <c r="S24" s="152"/>
      <c r="T24" s="152"/>
      <c r="U24" s="152"/>
    </row>
    <row r="25" spans="1:22" ht="36" customHeight="1" x14ac:dyDescent="0.2">
      <c r="A25" s="38" t="str">
        <f>IF(ISBLANK('Control Entry'!D61),"",'Control Entry'!D61)</f>
        <v/>
      </c>
      <c r="B25" s="39" t="str">
        <f>'Control Entry'!N61</f>
        <v/>
      </c>
      <c r="C25" s="39" t="str">
        <f>'Control Entry'!O61</f>
        <v/>
      </c>
      <c r="D25" s="40" t="str">
        <f>IF(ISBLANK('Control Entry'!E61),"",'Control Entry'!E61)</f>
        <v/>
      </c>
      <c r="E25" s="32" t="str">
        <f>IF(ISBLANK('Control Entry'!G61),"",'Control Entry'!G61)</f>
        <v/>
      </c>
      <c r="F25" s="96" t="str">
        <f>IF(ISBLANK('Control Entry'!J61),"",'Control Entry'!J61)</f>
        <v/>
      </c>
      <c r="G25" s="97"/>
      <c r="H25" s="27" t="s">
        <v>29</v>
      </c>
      <c r="J25" s="147" t="s">
        <v>17</v>
      </c>
      <c r="K25" s="147"/>
      <c r="L25" s="147"/>
      <c r="M25" s="147"/>
      <c r="N25" s="147"/>
      <c r="O25" s="51"/>
      <c r="P25" s="124"/>
      <c r="Q25" s="124"/>
      <c r="R25" s="51"/>
      <c r="S25" s="122"/>
      <c r="T25" s="122"/>
      <c r="U25" s="122"/>
      <c r="V25" s="122"/>
    </row>
    <row r="26" spans="1:22" ht="36" customHeight="1" thickBot="1" x14ac:dyDescent="0.25">
      <c r="A26" s="33"/>
      <c r="B26" s="34" t="str">
        <f>'Control Entry'!N61</f>
        <v/>
      </c>
      <c r="C26" s="34" t="str">
        <f>'Control Entry'!O61</f>
        <v/>
      </c>
      <c r="D26" s="35"/>
      <c r="E26" s="36" t="str">
        <f>IF(ISBLANK('Control Entry'!H61),"",'Control Entry'!H61)</f>
        <v/>
      </c>
      <c r="F26" s="100" t="str">
        <f>IF(ISBLANK('Control Entry'!K61),"",'Control Entry'!K61)</f>
        <v/>
      </c>
      <c r="G26" s="99"/>
      <c r="H26" s="27" t="s">
        <v>29</v>
      </c>
    </row>
    <row r="27" spans="1:22" ht="36" customHeight="1" x14ac:dyDescent="0.2">
      <c r="A27" s="29"/>
      <c r="B27" s="30" t="str">
        <f>'Control Entry'!N62</f>
        <v/>
      </c>
      <c r="C27" s="30" t="str">
        <f>'Control Entry'!O62</f>
        <v/>
      </c>
      <c r="D27" s="37"/>
      <c r="E27" s="32" t="str">
        <f>IF(ISBLANK('Control Entry'!F62),"",'Control Entry'!F62)</f>
        <v/>
      </c>
      <c r="F27" s="96" t="str">
        <f>IF(ISBLANK('Control Entry'!I62),"",'Control Entry'!I62)</f>
        <v/>
      </c>
      <c r="G27" s="97"/>
      <c r="H27" s="27" t="s">
        <v>29</v>
      </c>
      <c r="K27" s="131" t="s">
        <v>56</v>
      </c>
      <c r="L27" s="124"/>
      <c r="M27" s="50" t="s">
        <v>57</v>
      </c>
      <c r="N27" s="124" t="s">
        <v>49</v>
      </c>
      <c r="O27" s="124"/>
      <c r="P27" s="124" t="s">
        <v>50</v>
      </c>
      <c r="Q27" s="124"/>
      <c r="R27" s="51" t="s">
        <v>51</v>
      </c>
      <c r="S27" s="122" t="s">
        <v>52</v>
      </c>
      <c r="T27" s="122"/>
      <c r="U27" s="122" t="s">
        <v>53</v>
      </c>
      <c r="V27" s="122"/>
    </row>
    <row r="28" spans="1:22" ht="36" customHeight="1" x14ac:dyDescent="0.2">
      <c r="A28" s="38" t="str">
        <f>IF(ISBLANK('Control Entry'!D62),"",'Control Entry'!D62)</f>
        <v/>
      </c>
      <c r="B28" s="39" t="str">
        <f>'Control Entry'!N62</f>
        <v/>
      </c>
      <c r="C28" s="39" t="str">
        <f>'Control Entry'!O62</f>
        <v/>
      </c>
      <c r="D28" s="40" t="str">
        <f>IF(ISBLANK('Control Entry'!E62),"",'Control Entry'!E62)</f>
        <v/>
      </c>
      <c r="E28" s="32" t="str">
        <f>IF(ISBLANK('Control Entry'!G62),"",'Control Entry'!G62)</f>
        <v/>
      </c>
      <c r="F28" s="96" t="str">
        <f>IF(ISBLANK('Control Entry'!J62),"",'Control Entry'!J62)</f>
        <v/>
      </c>
      <c r="G28" s="97"/>
      <c r="H28" s="27" t="s">
        <v>29</v>
      </c>
    </row>
    <row r="29" spans="1:22" ht="36" customHeight="1" thickBot="1" x14ac:dyDescent="0.25">
      <c r="A29" s="33"/>
      <c r="B29" s="34" t="str">
        <f>'Control Entry'!N62</f>
        <v/>
      </c>
      <c r="C29" s="34" t="str">
        <f>'Control Entry'!O62</f>
        <v/>
      </c>
      <c r="D29" s="35"/>
      <c r="E29" s="36" t="str">
        <f>IF(ISBLANK('Control Entry'!H62),"",'Control Entry'!H62)</f>
        <v/>
      </c>
      <c r="F29" s="100" t="str">
        <f>IF(ISBLANK('Control Entry'!K62),"",'Control Entry'!K62)</f>
        <v/>
      </c>
      <c r="G29" s="99"/>
      <c r="H29" s="27" t="s">
        <v>29</v>
      </c>
      <c r="M29" s="123" t="s">
        <v>42</v>
      </c>
      <c r="N29" s="123"/>
      <c r="O29" s="123"/>
      <c r="P29" s="123"/>
      <c r="Q29" s="123"/>
      <c r="R29" s="123"/>
      <c r="S29" s="123"/>
      <c r="T29" s="123"/>
      <c r="U29" s="54"/>
    </row>
    <row r="30" spans="1:22" ht="36" customHeight="1" x14ac:dyDescent="0.2">
      <c r="A30" s="29"/>
      <c r="B30" s="30" t="str">
        <f>'Control Entry'!N63</f>
        <v/>
      </c>
      <c r="C30" s="30" t="str">
        <f>'Control Entry'!O63</f>
        <v/>
      </c>
      <c r="D30" s="37"/>
      <c r="E30" s="32" t="str">
        <f>IF(ISBLANK('Control Entry'!F63),"",'Control Entry'!F63)</f>
        <v/>
      </c>
      <c r="F30" s="96" t="str">
        <f>IF(ISBLANK('Control Entry'!I63),"",'Control Entry'!I63)</f>
        <v/>
      </c>
      <c r="G30" s="97"/>
      <c r="H30" s="27" t="s">
        <v>29</v>
      </c>
      <c r="M30" s="16"/>
      <c r="N30" s="20"/>
      <c r="O30" s="20"/>
      <c r="P30" s="21"/>
      <c r="Q30" s="102"/>
      <c r="R30" s="20"/>
      <c r="S30" s="20"/>
      <c r="T30" s="21"/>
      <c r="U30" s="22"/>
    </row>
    <row r="31" spans="1:22" ht="36" customHeight="1" x14ac:dyDescent="0.2">
      <c r="A31" s="38" t="str">
        <f>IF(ISBLANK('Control Entry'!D63),"",'Control Entry'!D63)</f>
        <v/>
      </c>
      <c r="B31" s="39" t="str">
        <f>'Control Entry'!N63</f>
        <v/>
      </c>
      <c r="C31" s="39" t="str">
        <f>'Control Entry'!O63</f>
        <v/>
      </c>
      <c r="D31" s="40" t="str">
        <f>IF(ISBLANK('Control Entry'!E63),"",'Control Entry'!E63)</f>
        <v/>
      </c>
      <c r="E31" s="32" t="str">
        <f>IF(ISBLANK('Control Entry'!G63),"",'Control Entry'!G63)</f>
        <v/>
      </c>
      <c r="F31" s="96" t="str">
        <f>IF(ISBLANK('Control Entry'!J63),"",'Control Entry'!J63)</f>
        <v/>
      </c>
      <c r="G31" s="97"/>
      <c r="H31" s="27" t="s">
        <v>29</v>
      </c>
      <c r="M31" s="17"/>
      <c r="N31" s="22"/>
      <c r="O31" s="22"/>
      <c r="P31" s="23"/>
      <c r="Q31" s="103"/>
      <c r="R31" s="22"/>
      <c r="S31" s="22"/>
      <c r="T31" s="23"/>
      <c r="U31" s="22"/>
    </row>
    <row r="32" spans="1:22" ht="36" customHeight="1" thickBot="1" x14ac:dyDescent="0.25">
      <c r="A32" s="33"/>
      <c r="B32" s="34" t="str">
        <f>'Control Entry'!N63</f>
        <v/>
      </c>
      <c r="C32" s="34" t="str">
        <f>'Control Entry'!O63</f>
        <v/>
      </c>
      <c r="D32" s="35"/>
      <c r="E32" s="36" t="str">
        <f>IF(ISBLANK('Control Entry'!H63),"",'Control Entry'!H63)</f>
        <v/>
      </c>
      <c r="F32" s="100" t="str">
        <f>IF(ISBLANK('Control Entry'!K63),"",'Control Entry'!K63)</f>
        <v/>
      </c>
      <c r="G32" s="99"/>
      <c r="H32" s="27" t="s">
        <v>29</v>
      </c>
      <c r="M32" s="137" t="s">
        <v>82</v>
      </c>
      <c r="N32" s="138"/>
      <c r="O32" s="138"/>
      <c r="P32" s="139"/>
      <c r="Q32" s="140">
        <f>'Control Entry'!B3</f>
        <v>44700</v>
      </c>
      <c r="R32" s="141"/>
      <c r="S32" s="141"/>
      <c r="T32" s="142"/>
      <c r="U32" s="22"/>
    </row>
    <row r="33" spans="1:22" ht="36" customHeight="1" x14ac:dyDescent="0.2">
      <c r="A33" s="130" t="s">
        <v>43</v>
      </c>
      <c r="B33" s="130"/>
      <c r="C33" s="130"/>
      <c r="D33" s="130"/>
      <c r="E33" s="130"/>
      <c r="F33" s="130"/>
      <c r="G33" s="130"/>
      <c r="H33" s="41"/>
      <c r="I33" s="41"/>
      <c r="M33" s="125" t="s">
        <v>86</v>
      </c>
      <c r="N33" s="126"/>
      <c r="O33" s="126"/>
      <c r="P33" s="126"/>
      <c r="Q33" s="127">
        <f>'Control Entry'!B4</f>
        <v>44840</v>
      </c>
      <c r="R33" s="128"/>
      <c r="S33" s="128"/>
      <c r="T33" s="128"/>
      <c r="U33" s="91"/>
      <c r="V33" s="57"/>
    </row>
    <row r="34" spans="1:22" ht="36" customHeight="1" x14ac:dyDescent="0.2">
      <c r="A34"/>
      <c r="O34" s="47"/>
      <c r="P34" s="47"/>
      <c r="Q34" s="47"/>
      <c r="R34" s="46"/>
    </row>
    <row r="35" spans="1:22" ht="36" customHeight="1" x14ac:dyDescent="0.2">
      <c r="A35"/>
      <c r="N35" s="123"/>
      <c r="O35" s="123"/>
      <c r="P35" s="123"/>
      <c r="Q35" s="123"/>
      <c r="R35" s="123"/>
      <c r="S35" s="123"/>
      <c r="T35" s="123"/>
      <c r="U35" s="123"/>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m+5DxS5z0jGPz2enrJCRgFwjkf0y6S+KVRFuN1IjzuBtg7DxgRkCvJA9CD6YWcWRfvJNtgkjCl2dSguY7geJVQ==" saltValue="ged3XotTQX8HcL4AYG6aUg==" spinCount="100000" sheet="1" objects="1" scenarios="1" formatCells="0" selectLockedCells="1"/>
  <mergeCells count="42">
    <mergeCell ref="J21:U21"/>
    <mergeCell ref="L11:N11"/>
    <mergeCell ref="S11:U11"/>
    <mergeCell ref="A1:G1"/>
    <mergeCell ref="K2:U2"/>
    <mergeCell ref="O3:R3"/>
    <mergeCell ref="M4:T4"/>
    <mergeCell ref="N5:O5"/>
    <mergeCell ref="R5:U5"/>
    <mergeCell ref="L6:U6"/>
    <mergeCell ref="L8:Q8"/>
    <mergeCell ref="T8:U8"/>
    <mergeCell ref="L9:U9"/>
    <mergeCell ref="L10:U10"/>
    <mergeCell ref="J25:N25"/>
    <mergeCell ref="P25:Q25"/>
    <mergeCell ref="S25:T25"/>
    <mergeCell ref="U25:V25"/>
    <mergeCell ref="L12:N12"/>
    <mergeCell ref="S12:U12"/>
    <mergeCell ref="L13:N13"/>
    <mergeCell ref="R13:U13"/>
    <mergeCell ref="L15:U15"/>
    <mergeCell ref="L16:U16"/>
    <mergeCell ref="L20:N20"/>
    <mergeCell ref="S20:U20"/>
    <mergeCell ref="S22:U22"/>
    <mergeCell ref="J24:N24"/>
    <mergeCell ref="S24:U24"/>
    <mergeCell ref="M22:O22"/>
    <mergeCell ref="A33:G33"/>
    <mergeCell ref="M33:P33"/>
    <mergeCell ref="Q33:T33"/>
    <mergeCell ref="N35:U35"/>
    <mergeCell ref="K27:L27"/>
    <mergeCell ref="N27:O27"/>
    <mergeCell ref="P27:Q27"/>
    <mergeCell ref="S27:T27"/>
    <mergeCell ref="U27:V27"/>
    <mergeCell ref="M29:T29"/>
    <mergeCell ref="M32:P32"/>
    <mergeCell ref="Q32:T32"/>
  </mergeCells>
  <conditionalFormatting sqref="K27:V27">
    <cfRule type="expression" dxfId="6" priority="7">
      <formula>$S$3="#2"</formula>
    </cfRule>
    <cfRule type="expression" dxfId="5" priority="8">
      <formula>$S$3="#4"</formula>
    </cfRule>
  </conditionalFormatting>
  <conditionalFormatting sqref="P22:U24">
    <cfRule type="expression" dxfId="4" priority="5">
      <formula>$S$3="#2"</formula>
    </cfRule>
    <cfRule type="expression" dxfId="3" priority="6">
      <formula>$S$3="#4"</formula>
    </cfRule>
  </conditionalFormatting>
  <conditionalFormatting sqref="J22:O22">
    <cfRule type="expression" dxfId="2" priority="3">
      <formula>$S$3="#2"</formula>
    </cfRule>
    <cfRule type="expression" dxfId="1" priority="4">
      <formula>$S$3="#4"</formula>
    </cfRule>
  </conditionalFormatting>
  <conditionalFormatting sqref="J21:U21">
    <cfRule type="expression" dxfId="0" priority="2">
      <formula>AND($S$3&lt;&gt;"#2",$S$3&lt;&gt;"#4")</formula>
    </cfRule>
  </conditionalFormatting>
  <printOptions horizontalCentered="1" verticalCentered="1"/>
  <pageMargins left="0.2" right="0.2" top="0.2" bottom="0.2" header="0.51" footer="0.51"/>
  <pageSetup scale="44" orientation="landscape"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30</vt:i4>
      </vt:variant>
    </vt:vector>
  </HeadingPairs>
  <TitlesOfParts>
    <vt:vector size="35" baseType="lpstr">
      <vt:lpstr>Control Entry</vt:lpstr>
      <vt:lpstr>Control Card #1</vt:lpstr>
      <vt:lpstr>Control Card #2</vt:lpstr>
      <vt:lpstr>Control Card #3</vt:lpstr>
      <vt:lpstr>Control Card #4</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#1'!Print_Titles</vt:lpstr>
      <vt:lpstr>'Control Card #2'!Print_Titles</vt:lpstr>
      <vt:lpstr>'Control Card #3'!Print_Titles</vt:lpstr>
      <vt:lpstr>'Control Card #4'!Print_Titles</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2022-10-07T02:55:23Z</cp:lastPrinted>
  <dcterms:created xsi:type="dcterms:W3CDTF">1997-11-12T04:43:39Z</dcterms:created>
  <dcterms:modified xsi:type="dcterms:W3CDTF">2022-10-07T02:55:30Z</dcterms:modified>
</cp:coreProperties>
</file>