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2/5161 600/"/>
    </mc:Choice>
  </mc:AlternateContent>
  <xr:revisionPtr revIDLastSave="0" documentId="13_ncr:1_{9D35B146-85D4-344E-BED0-80F02C4A5CE0}" xr6:coauthVersionLast="36" xr6:coauthVersionMax="36" xr10:uidLastSave="{00000000-0000-0000-0000-000000000000}"/>
  <bookViews>
    <workbookView xWindow="0" yWindow="460" windowWidth="25600" windowHeight="15540" tabRatio="509" xr2:uid="{00000000-000D-0000-FFFF-FFFF00000000}"/>
  </bookViews>
  <sheets>
    <sheet name="Control Entry" sheetId="1" r:id="rId1"/>
    <sheet name="Control Card #1" sheetId="2" r:id="rId2"/>
    <sheet name="Control Card #2" sheetId="3" r:id="rId3"/>
    <sheet name="Control Card #3" sheetId="4" r:id="rId4"/>
    <sheet name="Control Card #4" sheetId="5" r:id="rId5"/>
  </sheets>
  <definedNames>
    <definedName name="Address_1" localSheetId="2">#REF!</definedName>
    <definedName name="Address_1" localSheetId="3">#REF!</definedName>
    <definedName name="Address_1" localSheetId="4">#REF!</definedName>
    <definedName name="Address_1">#REF!</definedName>
    <definedName name="Address_2" localSheetId="2">#REF!</definedName>
    <definedName name="Address_2" localSheetId="3">#REF!</definedName>
    <definedName name="Address_2" localSheetId="4">#REF!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2">#REF!</definedName>
    <definedName name="City" localSheetId="3">#REF!</definedName>
    <definedName name="City" localSheetId="4">#REF!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2">'Control Entry'!#REF!</definedName>
    <definedName name="Control_11" localSheetId="3">'Control Entry'!#REF!</definedName>
    <definedName name="Control_11" localSheetId="4">'Control Entry'!#REF!</definedName>
    <definedName name="Control_11">'Control Entry'!#REF!</definedName>
    <definedName name="Control_12" localSheetId="2">'Control Entry'!#REF!</definedName>
    <definedName name="Control_12" localSheetId="3">'Control Entry'!#REF!</definedName>
    <definedName name="Control_12" localSheetId="4">'Control Entry'!#REF!</definedName>
    <definedName name="Control_12">'Control Entry'!#REF!</definedName>
    <definedName name="Control_13" localSheetId="2">'Control Entry'!#REF!</definedName>
    <definedName name="Control_13" localSheetId="3">'Control Entry'!#REF!</definedName>
    <definedName name="Control_13" localSheetId="4">'Control Entry'!#REF!</definedName>
    <definedName name="Control_13">'Control Entry'!#REF!</definedName>
    <definedName name="Control_14" localSheetId="2">'Control Entry'!#REF!</definedName>
    <definedName name="Control_14" localSheetId="3">'Control Entry'!#REF!</definedName>
    <definedName name="Control_14" localSheetId="4">'Control Entry'!#REF!</definedName>
    <definedName name="Control_14">'Control Entry'!#REF!</definedName>
    <definedName name="Control_15" localSheetId="2">'Control Entry'!#REF!</definedName>
    <definedName name="Control_15" localSheetId="3">'Control Entry'!#REF!</definedName>
    <definedName name="Control_15" localSheetId="4">'Control Entry'!#REF!</definedName>
    <definedName name="Control_15">'Control Entry'!#REF!</definedName>
    <definedName name="Control_16" localSheetId="2">'Control Entry'!#REF!</definedName>
    <definedName name="Control_16" localSheetId="3">'Control Entry'!#REF!</definedName>
    <definedName name="Control_16" localSheetId="4">'Control Entry'!#REF!</definedName>
    <definedName name="Control_16">'Control Entry'!#REF!</definedName>
    <definedName name="Control_17" localSheetId="2">'Control Entry'!#REF!</definedName>
    <definedName name="Control_17" localSheetId="3">'Control Entry'!#REF!</definedName>
    <definedName name="Control_17" localSheetId="4">'Control Entry'!#REF!</definedName>
    <definedName name="Control_17">'Control Entry'!#REF!</definedName>
    <definedName name="Control_18" localSheetId="2">'Control Entry'!#REF!</definedName>
    <definedName name="Control_18" localSheetId="3">'Control Entry'!#REF!</definedName>
    <definedName name="Control_18" localSheetId="4">'Control Entry'!#REF!</definedName>
    <definedName name="Control_18">'Control Entry'!#REF!</definedName>
    <definedName name="Control_19" localSheetId="2">'Control Entry'!#REF!</definedName>
    <definedName name="Control_19" localSheetId="3">'Control Entry'!#REF!</definedName>
    <definedName name="Control_19" localSheetId="4">'Control Entry'!#REF!</definedName>
    <definedName name="Control_19">'Control Entry'!#REF!</definedName>
    <definedName name="Control_2">'Control Entry'!$D$16:$O$16</definedName>
    <definedName name="Control_20" localSheetId="2">'Control Entry'!#REF!</definedName>
    <definedName name="Control_20" localSheetId="3">'Control Entry'!#REF!</definedName>
    <definedName name="Control_20" localSheetId="4">'Control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2">#REF!</definedName>
    <definedName name="Country" localSheetId="3">#REF!</definedName>
    <definedName name="Country" localSheetId="4">#REF!</definedName>
    <definedName name="Country">#REF!</definedName>
    <definedName name="Distance">'Control Entry'!$D$15:$D$24</definedName>
    <definedName name="email" localSheetId="2">#REF!</definedName>
    <definedName name="email" localSheetId="3">#REF!</definedName>
    <definedName name="email" localSheetId="4">#REF!</definedName>
    <definedName name="email">#REF!</definedName>
    <definedName name="Establishment_1">'Control Entry'!$F$15:$F$24</definedName>
    <definedName name="Establishment_2">'Control Entry'!$G$15:$G$24</definedName>
    <definedName name="Establishment_3">'Control Entry'!$H$15:$H$24</definedName>
    <definedName name="Fax" localSheetId="2">#REF!</definedName>
    <definedName name="Fax" localSheetId="3">#REF!</definedName>
    <definedName name="Fax" localSheetId="4">#REF!</definedName>
    <definedName name="Fax">#REF!</definedName>
    <definedName name="First_Name" localSheetId="2">#REF!</definedName>
    <definedName name="First_Name" localSheetId="3">#REF!</definedName>
    <definedName name="First_Name" localSheetId="4">#REF!</definedName>
    <definedName name="First_Name">#REF!</definedName>
    <definedName name="Home_telephone" localSheetId="2">#REF!</definedName>
    <definedName name="Home_telephone" localSheetId="3">#REF!</definedName>
    <definedName name="Home_telephone" localSheetId="4">#REF!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 localSheetId="4">#REF!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2">#REF!</definedName>
    <definedName name="Postal_Code" localSheetId="3">#REF!</definedName>
    <definedName name="Postal_Code" localSheetId="4">#REF!</definedName>
    <definedName name="Postal_Code">#REF!</definedName>
    <definedName name="_xlnm.Print_Titles" localSheetId="1">'Control Card #1'!$1:$2</definedName>
    <definedName name="_xlnm.Print_Titles" localSheetId="2">'Control Card #2'!$1:$2</definedName>
    <definedName name="_xlnm.Print_Titles" localSheetId="3">'Control Card #3'!$1:$2</definedName>
    <definedName name="_xlnm.Print_Titles" localSheetId="4">'Control Card #4'!$1:$2</definedName>
    <definedName name="Province_State" localSheetId="2">#REF!</definedName>
    <definedName name="Province_State" localSheetId="3">#REF!</definedName>
    <definedName name="Province_State" localSheetId="4">#REF!</definedName>
    <definedName name="Province_State">#REF!</definedName>
    <definedName name="Start_date">'Control Entry'!$B$12</definedName>
    <definedName name="Start_time">'Control Entry'!$B$13</definedName>
    <definedName name="surname" localSheetId="2">#REF!</definedName>
    <definedName name="surname" localSheetId="3">#REF!</definedName>
    <definedName name="surname" localSheetId="4">#REF!</definedName>
    <definedName name="surname">#REF!</definedName>
    <definedName name="Work_telephone" localSheetId="2">#REF!</definedName>
    <definedName name="Work_telephone" localSheetId="3">#REF!</definedName>
    <definedName name="Work_telephone" localSheetId="4">#REF!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F32" i="5" l="1"/>
  <c r="F31" i="5"/>
  <c r="F30" i="5"/>
  <c r="E32" i="5"/>
  <c r="E31" i="5"/>
  <c r="E30" i="5"/>
  <c r="D31" i="5"/>
  <c r="A31" i="5"/>
  <c r="F29" i="5"/>
  <c r="F28" i="5"/>
  <c r="F27" i="5"/>
  <c r="E29" i="5"/>
  <c r="E28" i="5"/>
  <c r="E27" i="5"/>
  <c r="D28" i="5"/>
  <c r="A28" i="5"/>
  <c r="F26" i="5"/>
  <c r="F25" i="5"/>
  <c r="F24" i="5"/>
  <c r="E26" i="5"/>
  <c r="E25" i="5"/>
  <c r="E24" i="5"/>
  <c r="D25" i="5"/>
  <c r="A25" i="5"/>
  <c r="F23" i="5"/>
  <c r="F22" i="5"/>
  <c r="F21" i="5"/>
  <c r="E23" i="5"/>
  <c r="E22" i="5"/>
  <c r="E21" i="5"/>
  <c r="D22" i="5"/>
  <c r="A22" i="5"/>
  <c r="F20" i="5"/>
  <c r="F19" i="5"/>
  <c r="F18" i="5"/>
  <c r="E20" i="5"/>
  <c r="E19" i="5"/>
  <c r="E18" i="5"/>
  <c r="D19" i="5"/>
  <c r="A19" i="5" l="1"/>
  <c r="F17" i="5"/>
  <c r="F16" i="5"/>
  <c r="F15" i="5"/>
  <c r="E17" i="5"/>
  <c r="E16" i="5"/>
  <c r="E15" i="5"/>
  <c r="D16" i="5"/>
  <c r="A16" i="5"/>
  <c r="F14" i="5"/>
  <c r="F13" i="5"/>
  <c r="F12" i="5"/>
  <c r="E14" i="5"/>
  <c r="E13" i="5"/>
  <c r="E12" i="5"/>
  <c r="D13" i="5"/>
  <c r="A13" i="5"/>
  <c r="F11" i="5"/>
  <c r="F10" i="5"/>
  <c r="F9" i="5"/>
  <c r="E11" i="5"/>
  <c r="E10" i="5"/>
  <c r="E9" i="5"/>
  <c r="D10" i="5"/>
  <c r="A10" i="5"/>
  <c r="F8" i="5"/>
  <c r="F7" i="5"/>
  <c r="F6" i="5"/>
  <c r="E8" i="5"/>
  <c r="E7" i="5"/>
  <c r="E6" i="5"/>
  <c r="D7" i="5"/>
  <c r="A7" i="5"/>
  <c r="F26" i="4"/>
  <c r="F25" i="4"/>
  <c r="F24" i="4"/>
  <c r="F19" i="4"/>
  <c r="F5" i="5"/>
  <c r="F4" i="5"/>
  <c r="F3" i="5"/>
  <c r="E5" i="4"/>
  <c r="E5" i="5"/>
  <c r="E4" i="5"/>
  <c r="E3" i="5"/>
  <c r="D4" i="5"/>
  <c r="A4" i="5"/>
  <c r="S3" i="5"/>
  <c r="S3" i="4"/>
  <c r="S3" i="3"/>
  <c r="S3" i="2"/>
  <c r="Q33" i="5"/>
  <c r="Q32" i="5"/>
  <c r="S20" i="5"/>
  <c r="L20" i="5"/>
  <c r="L6" i="5"/>
  <c r="R5" i="5"/>
  <c r="P5" i="5"/>
  <c r="L63" i="1"/>
  <c r="L62" i="1"/>
  <c r="L61" i="1"/>
  <c r="L60" i="1"/>
  <c r="L59" i="1"/>
  <c r="L58" i="1"/>
  <c r="L57" i="1"/>
  <c r="L56" i="1"/>
  <c r="L55" i="1"/>
  <c r="M54" i="1"/>
  <c r="L54" i="1"/>
  <c r="Q33" i="4"/>
  <c r="Q32" i="4"/>
  <c r="Q33" i="3"/>
  <c r="Q32" i="3"/>
  <c r="Q33" i="2"/>
  <c r="Q32" i="2"/>
  <c r="M48" i="1" l="1"/>
  <c r="M49" i="1"/>
  <c r="M50" i="1"/>
  <c r="M35" i="1"/>
  <c r="M36" i="1"/>
  <c r="M37" i="1"/>
  <c r="M23" i="1"/>
  <c r="M24" i="1"/>
  <c r="S20" i="4" l="1"/>
  <c r="L20" i="4"/>
  <c r="S20" i="3"/>
  <c r="L20" i="3"/>
  <c r="S20" i="2"/>
  <c r="L20"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8" i="4"/>
  <c r="E20" i="4"/>
  <c r="E19" i="4"/>
  <c r="E18" i="4"/>
  <c r="D19" i="4"/>
  <c r="A19" i="4"/>
  <c r="F17" i="4"/>
  <c r="F16" i="4"/>
  <c r="F15" i="4"/>
  <c r="E17" i="4"/>
  <c r="E16" i="4"/>
  <c r="E15" i="4"/>
  <c r="D16" i="4"/>
  <c r="A16" i="4"/>
  <c r="F13" i="4"/>
  <c r="F14" i="4"/>
  <c r="F12" i="4"/>
  <c r="E14" i="4"/>
  <c r="E13" i="4"/>
  <c r="E12" i="4"/>
  <c r="D13" i="4"/>
  <c r="A13" i="4"/>
  <c r="A7" i="2" l="1"/>
  <c r="F11" i="4"/>
  <c r="F10" i="4"/>
  <c r="F9" i="4"/>
  <c r="E11" i="4"/>
  <c r="E10" i="4"/>
  <c r="E9" i="4"/>
  <c r="D10" i="4"/>
  <c r="A10" i="4"/>
  <c r="F8" i="4"/>
  <c r="F7" i="4"/>
  <c r="F6" i="4"/>
  <c r="E8" i="4"/>
  <c r="E7" i="4"/>
  <c r="E6" i="4"/>
  <c r="D7" i="4"/>
  <c r="A7" i="4"/>
  <c r="F5" i="4"/>
  <c r="F4" i="4"/>
  <c r="F3" i="4"/>
  <c r="E4" i="4"/>
  <c r="E3" i="4"/>
  <c r="D4" i="4"/>
  <c r="A4" i="4"/>
  <c r="L50" i="1" l="1"/>
  <c r="L49" i="1"/>
  <c r="L48" i="1"/>
  <c r="L47" i="1"/>
  <c r="L46" i="1"/>
  <c r="L45" i="1"/>
  <c r="L44" i="1"/>
  <c r="L43" i="1"/>
  <c r="L42" i="1"/>
  <c r="L41" i="1"/>
  <c r="L6" i="4"/>
  <c r="R5" i="4"/>
  <c r="P5"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5" i="1"/>
  <c r="N15" i="1" s="1"/>
  <c r="L37" i="1"/>
  <c r="L36" i="1"/>
  <c r="L35" i="1"/>
  <c r="L34" i="1"/>
  <c r="L33" i="1"/>
  <c r="L32" i="1"/>
  <c r="L31" i="1"/>
  <c r="L30" i="1"/>
  <c r="L29" i="1"/>
  <c r="L28"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6" i="1"/>
  <c r="E4" i="3"/>
  <c r="E3" i="3"/>
  <c r="D31" i="3"/>
  <c r="D28" i="3"/>
  <c r="D25" i="3"/>
  <c r="D22" i="3"/>
  <c r="D19" i="3"/>
  <c r="D16" i="3"/>
  <c r="D13" i="3"/>
  <c r="D10" i="3"/>
  <c r="D7" i="3"/>
  <c r="D4" i="3"/>
  <c r="A31" i="3"/>
  <c r="A28" i="3"/>
  <c r="A25" i="3"/>
  <c r="A22" i="3"/>
  <c r="A19" i="3"/>
  <c r="A16" i="3"/>
  <c r="A13" i="3"/>
  <c r="A10" i="3"/>
  <c r="A7" i="3"/>
  <c r="A4" i="3"/>
  <c r="L24" i="1"/>
  <c r="L23" i="1"/>
  <c r="L22" i="1"/>
  <c r="L21" i="1"/>
  <c r="L20" i="1"/>
  <c r="L19" i="1"/>
  <c r="L18" i="1"/>
  <c r="L17" i="1"/>
  <c r="L16" i="1"/>
  <c r="L6" i="3"/>
  <c r="R5" i="3"/>
  <c r="P5"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M20" i="1" l="1"/>
  <c r="O50" i="1"/>
  <c r="N50" i="1"/>
  <c r="N61" i="1"/>
  <c r="N60" i="1"/>
  <c r="N59" i="1"/>
  <c r="N63" i="1"/>
  <c r="N58" i="1"/>
  <c r="N62" i="1"/>
  <c r="M63" i="1"/>
  <c r="O63" i="1" s="1"/>
  <c r="M61" i="1"/>
  <c r="O61" i="1" s="1"/>
  <c r="M59" i="1"/>
  <c r="O59" i="1" s="1"/>
  <c r="M62" i="1"/>
  <c r="O62" i="1" s="1"/>
  <c r="M60" i="1"/>
  <c r="O60" i="1" s="1"/>
  <c r="M58" i="1"/>
  <c r="O58" i="1" s="1"/>
  <c r="B7" i="1"/>
  <c r="M46" i="1" s="1"/>
  <c r="O46" i="1" s="1"/>
  <c r="M4" i="5"/>
  <c r="M57" i="1"/>
  <c r="O57" i="1" s="1"/>
  <c r="M55" i="1"/>
  <c r="O55" i="1" s="1"/>
  <c r="M56" i="1"/>
  <c r="O56" i="1"/>
  <c r="N56" i="1"/>
  <c r="N57" i="1"/>
  <c r="N55" i="1"/>
  <c r="O54" i="1"/>
  <c r="N54" i="1"/>
  <c r="M4" i="3"/>
  <c r="M42" i="1"/>
  <c r="O42" i="1" s="1"/>
  <c r="M16" i="1"/>
  <c r="M32" i="1"/>
  <c r="O32" i="1" s="1"/>
  <c r="M19" i="1"/>
  <c r="M18" i="1"/>
  <c r="O18" i="1" s="1"/>
  <c r="M17" i="1"/>
  <c r="O17" i="1" s="1"/>
  <c r="O48" i="1"/>
  <c r="O49" i="1"/>
  <c r="N48" i="1"/>
  <c r="N42" i="1"/>
  <c r="N47" i="1"/>
  <c r="N43" i="1"/>
  <c r="N45" i="1"/>
  <c r="N49" i="1"/>
  <c r="N46" i="1"/>
  <c r="N44" i="1"/>
  <c r="N41" i="1"/>
  <c r="M4" i="4"/>
  <c r="M15" i="1"/>
  <c r="O15" i="1" s="1"/>
  <c r="C3" i="2" s="1"/>
  <c r="N31" i="1"/>
  <c r="B4" i="2"/>
  <c r="O19" i="1"/>
  <c r="C17" i="2" s="1"/>
  <c r="N18" i="1"/>
  <c r="B14" i="2" s="1"/>
  <c r="O23" i="1"/>
  <c r="C27" i="2" s="1"/>
  <c r="N28" i="1"/>
  <c r="N34" i="1"/>
  <c r="N22" i="1"/>
  <c r="B25" i="2" s="1"/>
  <c r="B3" i="2"/>
  <c r="O20" i="1"/>
  <c r="B5" i="2"/>
  <c r="N17" i="1"/>
  <c r="B11" i="2" s="1"/>
  <c r="N21" i="1"/>
  <c r="B22" i="2" s="1"/>
  <c r="N24" i="1"/>
  <c r="B31" i="2" s="1"/>
  <c r="N35" i="1"/>
  <c r="O37" i="1"/>
  <c r="N37" i="1"/>
  <c r="O24" i="1"/>
  <c r="C31" i="2" s="1"/>
  <c r="N16" i="1"/>
  <c r="B6" i="2" s="1"/>
  <c r="N20" i="1"/>
  <c r="B19" i="2" s="1"/>
  <c r="N29" i="1"/>
  <c r="N32" i="1"/>
  <c r="O16" i="1"/>
  <c r="N19" i="1"/>
  <c r="B17" i="2" s="1"/>
  <c r="N23" i="1"/>
  <c r="B27" i="2" s="1"/>
  <c r="N30" i="1"/>
  <c r="N33" i="1"/>
  <c r="N36" i="1"/>
  <c r="M4" i="2"/>
  <c r="O36" i="1"/>
  <c r="O35" i="1"/>
  <c r="M21" i="1" l="1"/>
  <c r="O21" i="1" s="1"/>
  <c r="C23" i="2" s="1"/>
  <c r="M29" i="1"/>
  <c r="O29" i="1" s="1"/>
  <c r="C7" i="3" s="1"/>
  <c r="M43" i="1"/>
  <c r="O43" i="1" s="1"/>
  <c r="C11" i="4" s="1"/>
  <c r="M28" i="1"/>
  <c r="O28" i="1" s="1"/>
  <c r="C3" i="3" s="1"/>
  <c r="M34" i="1"/>
  <c r="O34" i="1" s="1"/>
  <c r="C23" i="3" s="1"/>
  <c r="M41" i="1"/>
  <c r="O41" i="1" s="1"/>
  <c r="C3" i="4" s="1"/>
  <c r="M30" i="1"/>
  <c r="O30" i="1" s="1"/>
  <c r="C11" i="3" s="1"/>
  <c r="M44" i="1"/>
  <c r="O44" i="1" s="1"/>
  <c r="C13" i="4" s="1"/>
  <c r="M33" i="1"/>
  <c r="O33" i="1" s="1"/>
  <c r="C19" i="3" s="1"/>
  <c r="M22" i="1"/>
  <c r="O22" i="1" s="1"/>
  <c r="C26" i="2" s="1"/>
  <c r="M45" i="1"/>
  <c r="O45" i="1" s="1"/>
  <c r="C15" i="4" s="1"/>
  <c r="M31" i="1"/>
  <c r="O31" i="1" s="1"/>
  <c r="C14" i="3" s="1"/>
  <c r="M47" i="1"/>
  <c r="O47" i="1" s="1"/>
  <c r="C22" i="4" s="1"/>
  <c r="C27" i="5"/>
  <c r="C29" i="5"/>
  <c r="C28" i="5"/>
  <c r="B29" i="5"/>
  <c r="B28" i="5"/>
  <c r="B27" i="5"/>
  <c r="B22" i="5"/>
  <c r="B21" i="5"/>
  <c r="B23" i="5"/>
  <c r="C20" i="5"/>
  <c r="C19" i="5"/>
  <c r="C18" i="5"/>
  <c r="B25" i="5"/>
  <c r="B24" i="5"/>
  <c r="B26" i="5"/>
  <c r="C26" i="5"/>
  <c r="C25" i="5"/>
  <c r="C24" i="5"/>
  <c r="C21" i="5"/>
  <c r="C23" i="5"/>
  <c r="C22" i="5"/>
  <c r="C31" i="5"/>
  <c r="C30" i="5"/>
  <c r="C32" i="5"/>
  <c r="B19" i="5"/>
  <c r="B18" i="5"/>
  <c r="B20" i="5"/>
  <c r="B32" i="5"/>
  <c r="B31" i="5"/>
  <c r="B30" i="5"/>
  <c r="B8" i="5"/>
  <c r="B7" i="5"/>
  <c r="B6" i="5"/>
  <c r="B14" i="5"/>
  <c r="B13" i="5"/>
  <c r="B12" i="5"/>
  <c r="C7" i="5"/>
  <c r="C8" i="5"/>
  <c r="C6" i="5"/>
  <c r="B15" i="5"/>
  <c r="B17" i="5"/>
  <c r="B16" i="5"/>
  <c r="B9" i="5"/>
  <c r="B10" i="5"/>
  <c r="B11" i="5"/>
  <c r="C13" i="5"/>
  <c r="C12" i="5"/>
  <c r="C14" i="5"/>
  <c r="C16" i="5"/>
  <c r="C15" i="5"/>
  <c r="C17" i="5"/>
  <c r="C10" i="5"/>
  <c r="C9" i="5"/>
  <c r="C11" i="5"/>
  <c r="B4" i="5"/>
  <c r="B3" i="5"/>
  <c r="B5" i="5"/>
  <c r="B31" i="4"/>
  <c r="B30" i="4"/>
  <c r="B32" i="4"/>
  <c r="C5" i="5"/>
  <c r="C3" i="5"/>
  <c r="C4" i="5"/>
  <c r="C31" i="4"/>
  <c r="C30" i="4"/>
  <c r="C32" i="4"/>
  <c r="B13" i="4"/>
  <c r="B12" i="4"/>
  <c r="B14" i="4"/>
  <c r="B29" i="4"/>
  <c r="B28" i="4"/>
  <c r="B27" i="4"/>
  <c r="B23" i="4"/>
  <c r="B22" i="4"/>
  <c r="B21" i="4"/>
  <c r="B17" i="4"/>
  <c r="B16" i="4"/>
  <c r="B15" i="4"/>
  <c r="B25" i="4"/>
  <c r="B24" i="4"/>
  <c r="B26" i="4"/>
  <c r="C29" i="4"/>
  <c r="C28" i="4"/>
  <c r="C27" i="4"/>
  <c r="C4" i="2"/>
  <c r="B19" i="4"/>
  <c r="B18" i="4"/>
  <c r="B20" i="4"/>
  <c r="C20" i="4"/>
  <c r="C19" i="4"/>
  <c r="C18" i="4"/>
  <c r="C26" i="4"/>
  <c r="C25" i="4"/>
  <c r="C24" i="4"/>
  <c r="C8" i="4"/>
  <c r="C7" i="4"/>
  <c r="C6" i="4"/>
  <c r="B8" i="4"/>
  <c r="B7" i="4"/>
  <c r="B6" i="4"/>
  <c r="B9" i="4"/>
  <c r="B11" i="4"/>
  <c r="B10" i="4"/>
  <c r="B5" i="4"/>
  <c r="B4" i="4"/>
  <c r="B3" i="4"/>
  <c r="B21" i="3"/>
  <c r="B29" i="3"/>
  <c r="B6" i="3"/>
  <c r="B26" i="3"/>
  <c r="B5" i="3"/>
  <c r="B11" i="3"/>
  <c r="B32" i="3"/>
  <c r="B16" i="3"/>
  <c r="C31" i="3"/>
  <c r="C5" i="2"/>
  <c r="B19" i="3"/>
  <c r="B14" i="3"/>
  <c r="B25" i="3"/>
  <c r="C16" i="2"/>
  <c r="B13" i="3"/>
  <c r="B12" i="3"/>
  <c r="B21" i="2"/>
  <c r="B26" i="2"/>
  <c r="C15" i="2"/>
  <c r="C30" i="3"/>
  <c r="B3" i="3"/>
  <c r="B8" i="2"/>
  <c r="B12" i="2"/>
  <c r="B13" i="2"/>
  <c r="B22" i="3"/>
  <c r="B30" i="3"/>
  <c r="B27" i="3"/>
  <c r="B8" i="3"/>
  <c r="C29" i="2"/>
  <c r="B18" i="3"/>
  <c r="B29" i="2"/>
  <c r="B15" i="2"/>
  <c r="B31" i="3"/>
  <c r="B18" i="2"/>
  <c r="B10" i="3"/>
  <c r="B32" i="2"/>
  <c r="C28" i="2"/>
  <c r="C24" i="2"/>
  <c r="C30" i="2"/>
  <c r="B20" i="2"/>
  <c r="B24" i="3"/>
  <c r="B28" i="3"/>
  <c r="B7" i="3"/>
  <c r="B4" i="3"/>
  <c r="B16" i="2"/>
  <c r="B7" i="2"/>
  <c r="C19" i="2"/>
  <c r="C18" i="2"/>
  <c r="C20" i="2"/>
  <c r="C13" i="2"/>
  <c r="C12" i="2"/>
  <c r="C14" i="2"/>
  <c r="B23" i="3"/>
  <c r="B9" i="2"/>
  <c r="B30" i="2"/>
  <c r="C32" i="2"/>
  <c r="B10" i="2"/>
  <c r="B9" i="3"/>
  <c r="B24" i="2"/>
  <c r="B20" i="3"/>
  <c r="C9" i="2"/>
  <c r="C10" i="2"/>
  <c r="B28" i="2"/>
  <c r="B23" i="2"/>
  <c r="B17" i="3"/>
  <c r="C8" i="2"/>
  <c r="C7" i="2"/>
  <c r="C22" i="2"/>
  <c r="C21" i="2"/>
  <c r="C11" i="2"/>
  <c r="B15" i="3"/>
  <c r="C32" i="3"/>
  <c r="C6" i="2"/>
  <c r="C25" i="3"/>
  <c r="C26" i="3"/>
  <c r="C24" i="3"/>
  <c r="C15" i="3"/>
  <c r="C16" i="3"/>
  <c r="C17" i="3"/>
  <c r="C27" i="3"/>
  <c r="C28" i="3"/>
  <c r="C29" i="3"/>
  <c r="C5" i="4" l="1"/>
  <c r="C25" i="2"/>
  <c r="C4" i="4"/>
  <c r="C21" i="4"/>
  <c r="C20" i="3"/>
  <c r="C6" i="3"/>
  <c r="C10" i="3"/>
  <c r="C18" i="3"/>
  <c r="C8" i="3"/>
  <c r="C16" i="4"/>
  <c r="C9" i="4"/>
  <c r="C10" i="4"/>
  <c r="C17" i="4"/>
  <c r="C5" i="3"/>
  <c r="C13" i="3"/>
  <c r="C12" i="4"/>
  <c r="C14" i="4"/>
  <c r="C21" i="3"/>
  <c r="C22" i="3"/>
  <c r="C23" i="4"/>
  <c r="C12" i="3"/>
  <c r="C9" i="3"/>
  <c r="C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7" authorId="1" shapeId="0" xr:uid="{00000000-0006-0000-0000-000002000000}">
      <text>
        <r>
          <rPr>
            <sz val="8"/>
            <color rgb="FF000000"/>
            <rFont val="Tahoma"/>
            <family val="2"/>
          </rPr>
          <t>Autocalculated based on ACP specified times</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2" authorId="0" shapeId="0" xr:uid="{6F09A1DF-13DF-0541-9E9F-4A78251D3B7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<sst xmlns="http://schemas.openxmlformats.org/spreadsheetml/2006/main" count="438" uniqueCount="139">
  <si>
    <t>Start time</t>
  </si>
  <si>
    <t>Finish time</t>
  </si>
  <si>
    <t>Elapsed time</t>
  </si>
  <si>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</si>
  <si>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</si>
  <si>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</si>
  <si>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</si>
  <si>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</si>
  <si>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</si>
  <si>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</si>
  <si>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</si>
  <si>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</si>
  <si>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</si>
  <si>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</si>
  <si>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</si>
  <si>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</si>
  <si>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</si>
  <si>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</si>
  <si>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</si>
  <si>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</si>
  <si>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</si>
  <si>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</si>
  <si>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</si>
  <si>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</si>
  <si>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</si>
  <si>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</si>
  <si>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</si>
  <si>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</si>
  <si>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</si>
  <si>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t>
  </si>
  <si>
    <t>DIST (km)</t>
  </si>
  <si>
    <t>Establishment</t>
  </si>
  <si>
    <t>Time of Passage</t>
  </si>
  <si>
    <t>Control Card</t>
  </si>
  <si>
    <t>Name</t>
  </si>
  <si>
    <t>Address</t>
  </si>
  <si>
    <t>City</t>
  </si>
  <si>
    <t>Province/State</t>
  </si>
  <si>
    <t>Country</t>
  </si>
  <si>
    <t>Postal Code</t>
  </si>
  <si>
    <t>Telephone</t>
  </si>
  <si>
    <t>email</t>
  </si>
  <si>
    <t>Randonneur Committee Authorization</t>
  </si>
  <si>
    <t>Report results or abandonment through registration email link</t>
  </si>
  <si>
    <t>Start Date</t>
  </si>
  <si>
    <t>Finish Date</t>
  </si>
  <si>
    <t>Member #</t>
  </si>
  <si>
    <t xml:space="preserve">Brevet No. </t>
  </si>
  <si>
    <t>Schedule date:</t>
  </si>
  <si>
    <t>Single</t>
  </si>
  <si>
    <t>Tandem</t>
  </si>
  <si>
    <t>Fixed</t>
  </si>
  <si>
    <t>Recumbent</t>
  </si>
  <si>
    <t>Velomobile</t>
  </si>
  <si>
    <t>(only add if change needed to database)</t>
  </si>
  <si>
    <t>Founding member of LES RANDONNEURS MONDIAUX (1983)</t>
  </si>
  <si>
    <t>Bicycle Type
Circle one</t>
  </si>
  <si>
    <t>-------&gt;</t>
  </si>
  <si>
    <t>Ride Day Emergency Contact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</si>
  <si>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</si>
  <si>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</si>
  <si>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</si>
  <si>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</si>
  <si>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</si>
  <si>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</si>
  <si>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</si>
  <si>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</si>
  <si>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</si>
  <si>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</si>
  <si>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Fill in the control distance.  The opening and closing times will be automatically calculated based on the start time and the brevet distance.  If you need more than 10 controls, use card #2, otherwise leave that section blank.</t>
  </si>
  <si>
    <t>When using information controls, you can put your question in the Signature/Answer section eg Sig/Ans.1 Sign on main door  Sig/Ans. 2  This week's special is?  Sig/Ans. 3 ________________</t>
  </si>
  <si>
    <t>Control Card #1 Information Control Question (optional)</t>
  </si>
  <si>
    <t>Control Card #2 Information Control Question (optional)</t>
  </si>
  <si>
    <t xml:space="preserve">Control Card </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</si>
  <si>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</si>
  <si>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Enter the start time.  This will be the official ACP listed start time found on the event page, unless a ride window has been enabled.</t>
  </si>
  <si>
    <t>Enter the start date.  This will be the same as the schedule date, exceot for pre-rides or unless a ride window has been enabled.</t>
  </si>
  <si>
    <t>Control Card #2</t>
  </si>
  <si>
    <t>Control Card #3 Information Control Question (optional)</t>
  </si>
  <si>
    <t>Control Card #3</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</si>
  <si>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</si>
  <si>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</si>
  <si>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</si>
  <si>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DO NOT DELETE OR MOVE ROWS OR COLUMNS (delete contents of cells only)</t>
  </si>
  <si>
    <t>Fill in the Locale (city) for each control.  Establishment 1, 2, and 3 can be used to describe the control itself eg Locale HOPE  Est.1 Dairy Queen Est.2 817 Water Ave Est. 3 (left blank)</t>
  </si>
  <si>
    <t>Scroll right to see further instructions</t>
  </si>
  <si>
    <t xml:space="preserve">Card Revised:  </t>
  </si>
  <si>
    <t>Control Card #4</t>
  </si>
  <si>
    <t>Control Card #4 Information Control Question (optional)</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</si>
  <si>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</si>
  <si>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SIGN HERE AND RECORD RESULTS ON CARD #1</t>
  </si>
  <si>
    <t>INFORMATION</t>
  </si>
  <si>
    <t>CUMBERLAND</t>
  </si>
  <si>
    <t>CAMPBELL RIVER</t>
  </si>
  <si>
    <t>BUSINESS</t>
  </si>
  <si>
    <t>Your choice</t>
  </si>
  <si>
    <t>NANAIMO</t>
  </si>
  <si>
    <t>Canco</t>
  </si>
  <si>
    <t>Bluebird Motel</t>
  </si>
  <si>
    <t>995 Terminal Ave N</t>
  </si>
  <si>
    <t>1100 Comox Lake Rd</t>
  </si>
  <si>
    <t>Duncan Bay General Store</t>
  </si>
  <si>
    <t>3930 N. Island Hwy</t>
  </si>
  <si>
    <t>COURTENAY</t>
  </si>
  <si>
    <t>Chevron</t>
  </si>
  <si>
    <t>600 Ryan Rd</t>
  </si>
  <si>
    <t xml:space="preserve">Or self sign </t>
  </si>
  <si>
    <t>YELLOW POINT</t>
  </si>
  <si>
    <t>Yellow Point Park</t>
  </si>
  <si>
    <t>4151 Yellow Pt Rd</t>
  </si>
  <si>
    <t>SAHTLAM</t>
  </si>
  <si>
    <t>Wake Lake Nature Reserve</t>
  </si>
  <si>
    <t>4465 Barnjum Rd</t>
  </si>
  <si>
    <t>MILL BAY</t>
  </si>
  <si>
    <t>SHAWNIGAN LAKE</t>
  </si>
  <si>
    <t>West Shawnigan Provincial Park</t>
  </si>
  <si>
    <t xml:space="preserve">825 Deloume Rd </t>
  </si>
  <si>
    <t>W. Shawnigan Lake Rd</t>
  </si>
  <si>
    <t>GLENORA</t>
  </si>
  <si>
    <t>4289 Robertson Rd</t>
  </si>
  <si>
    <t>Trails Head Park</t>
  </si>
  <si>
    <t>ERRINGTON</t>
  </si>
  <si>
    <t>Englishman River Falls Provincial Park</t>
  </si>
  <si>
    <t>2245 Errington Rd</t>
  </si>
  <si>
    <t>Hats Off East Coaster</t>
  </si>
  <si>
    <t>1050 Terminal Ave N</t>
  </si>
  <si>
    <t>Info sign to right of gate up stairs</t>
  </si>
  <si>
    <t>__________Toads of Wake Lake?</t>
  </si>
  <si>
    <t>Is the water potable?</t>
  </si>
  <si>
    <t>Below info signs on outside wall of washrooms</t>
  </si>
  <si>
    <t>Structure behind info sign</t>
  </si>
  <si>
    <t>How many toilets?</t>
  </si>
  <si>
    <t>Is there a map of the campgound?</t>
  </si>
  <si>
    <t>End of parking lot info sign to left of trail</t>
  </si>
  <si>
    <t>One Way sign near gate</t>
  </si>
  <si>
    <t>First word under arrow?</t>
  </si>
  <si>
    <t>Cumberland Lake Park Gate</t>
  </si>
  <si>
    <t>Main sign, bottom notice</t>
  </si>
  <si>
    <t>CLWS is the park 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</si>
</sst>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3"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20"/>
      <color theme="0" tint="-0.249977111117893"/>
      <name val="Impact"/>
      <family val="2"/>
    </font>
    <font>
      <sz val="16"/>
      <color rgb="FFFF0000"/>
      <name val="Arial"/>
      <family val="2"/>
    </font>
    <font>
      <sz val="9"/>
      <name val="Arial"/>
      <family val="2"/>
    </font>
    <font>
      <sz val="11"/>
      <name val="Arial Narrow"/>
      <family val="2"/>
    </font>
  </fonts>
  <fills count="3">
    <fill>
      <patternFill patternType="none"/>
    </fill>
    <fill>
      <patternFill patternType="gray125"/>
    </fill>
    <fill>
      <patternFill patternType="solid">
        <fgColor indexed="22"/>
        <bgColor indexed="64"/>
      </patternFill>
    </fill>
  </fills>
  <borders count="29">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59">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10" fillId="0" borderId="0" xfId="0" applyFont="1" applyProtection="1"/>
    <xf numFmtId="0" fontId="0" fillId="0" borderId="0" xfId="0" applyProtection="1"/>
    <xf numFmtId="0" fontId="0" fillId="0" borderId="20" xfId="0" applyBorder="1" applyProtection="1"/>
    <xf numFmtId="0" fontId="0" fillId="0" borderId="21" xfId="0" applyBorder="1" applyProtection="1"/>
    <xf numFmtId="0" fontId="0" fillId="0" borderId="0" xfId="0" applyBorder="1" applyProtection="1"/>
    <xf numFmtId="0" fontId="0" fillId="0" borderId="17"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Border="1" applyAlignment="1" applyProtection="1">
      <alignment horizontal="right"/>
    </xf>
    <xf numFmtId="0" fontId="10" fillId="0" borderId="0" xfId="0" applyFont="1" applyBorder="1" applyAlignment="1" applyProtection="1">
      <alignment horizontal="left"/>
    </xf>
    <xf numFmtId="0" fontId="10" fillId="0" borderId="0" xfId="0" applyFont="1" applyAlignment="1" applyProtection="1"/>
    <xf numFmtId="0" fontId="5" fillId="2" borderId="3" xfId="0" applyFont="1" applyFill="1" applyBorder="1" applyAlignment="1">
      <alignment horizontal="right"/>
    </xf>
    <xf numFmtId="168" fontId="10" fillId="0" borderId="0" xfId="0" applyNumberFormat="1" applyFont="1" applyBorder="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4" fillId="0" borderId="16" xfId="0" applyFont="1" applyBorder="1" applyAlignment="1">
      <alignment horizontal="center" vertical="top" wrapText="1"/>
    </xf>
    <xf numFmtId="0" fontId="6" fillId="0" borderId="0" xfId="0" applyFont="1" applyBorder="1" applyAlignment="1" applyProtection="1">
      <alignment wrapText="1"/>
    </xf>
    <xf numFmtId="0" fontId="10" fillId="0" borderId="0" xfId="0" applyFont="1" applyBorder="1"/>
    <xf numFmtId="0" fontId="10" fillId="0" borderId="0" xfId="0" applyFont="1" applyBorder="1" applyProtection="1"/>
    <xf numFmtId="168" fontId="10" fillId="0" borderId="0" xfId="0" applyNumberFormat="1" applyFont="1" applyBorder="1" applyAlignment="1">
      <alignment horizontal="center"/>
    </xf>
    <xf numFmtId="0" fontId="10" fillId="0" borderId="0" xfId="0" applyFont="1" applyAlignment="1">
      <alignment horizontal="center"/>
    </xf>
    <xf numFmtId="0" fontId="10" fillId="0" borderId="0" xfId="0" applyFont="1" applyBorder="1" applyAlignment="1">
      <alignment horizontal="center"/>
    </xf>
    <xf numFmtId="18" fontId="23" fillId="0" borderId="0" xfId="0" applyNumberFormat="1" applyFont="1" applyBorder="1" applyAlignment="1">
      <alignment horizontal="center" wrapText="1"/>
    </xf>
    <xf numFmtId="0" fontId="10" fillId="0" borderId="0" xfId="0" applyNumberFormat="1" applyFont="1" applyBorder="1" applyAlignment="1" applyProtection="1">
      <alignment horizontal="left" vertical="center"/>
    </xf>
    <xf numFmtId="169" fontId="10" fillId="0" borderId="0" xfId="0" applyNumberFormat="1" applyFont="1" applyBorder="1" applyAlignment="1" applyProtection="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0" fontId="10" fillId="0" borderId="0" xfId="0" applyFont="1" applyAlignment="1">
      <alignment horizontal="center"/>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NumberFormat="1" applyFont="1" applyBorder="1" applyAlignment="1">
      <alignment horizontal="center" wrapText="1"/>
    </xf>
    <xf numFmtId="0" fontId="9" fillId="0" borderId="0" xfId="0" applyFont="1" applyAlignment="1"/>
    <xf numFmtId="0" fontId="5" fillId="0" borderId="0" xfId="0" applyFont="1"/>
    <xf numFmtId="0" fontId="27" fillId="2" borderId="26" xfId="0" applyFont="1" applyFill="1" applyBorder="1"/>
    <xf numFmtId="0" fontId="0" fillId="2" borderId="27" xfId="0" applyFill="1" applyBorder="1" applyAlignment="1">
      <alignment horizontal="right"/>
    </xf>
    <xf numFmtId="0" fontId="5" fillId="2" borderId="28" xfId="0" applyFont="1" applyFill="1" applyBorder="1" applyAlignment="1">
      <alignment horizontal="right"/>
    </xf>
    <xf numFmtId="0" fontId="6" fillId="0" borderId="0" xfId="0" applyFont="1" applyBorder="1" applyAlignment="1" applyProtection="1">
      <alignment vertical="top" wrapText="1"/>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0" fillId="0" borderId="19" xfId="0" applyBorder="1" applyProtection="1"/>
    <xf numFmtId="0" fontId="0" fillId="0" borderId="6" xfId="0" applyBorder="1" applyProtection="1"/>
    <xf numFmtId="15" fontId="32" fillId="0" borderId="4" xfId="0" applyNumberFormat="1" applyFont="1" applyBorder="1" applyAlignment="1" applyProtection="1">
      <alignment horizontal="center"/>
      <protection locked="0"/>
    </xf>
    <xf numFmtId="0" fontId="31" fillId="2" borderId="28" xfId="0" applyFont="1" applyFill="1" applyBorder="1" applyAlignment="1">
      <alignment horizontal="right"/>
    </xf>
    <xf numFmtId="15" fontId="31" fillId="2" borderId="2" xfId="0" applyNumberFormat="1" applyFont="1" applyFill="1" applyBorder="1" applyAlignment="1">
      <alignment horizontal="left"/>
    </xf>
    <xf numFmtId="0" fontId="31" fillId="0" borderId="0" xfId="0" applyFont="1" applyAlignment="1"/>
    <xf numFmtId="0" fontId="31" fillId="0" borderId="0" xfId="0" applyFont="1"/>
    <xf numFmtId="0" fontId="31" fillId="0" borderId="0" xfId="0" applyFont="1" applyAlignment="1">
      <alignment wrapText="1"/>
    </xf>
    <xf numFmtId="167" fontId="0" fillId="0" borderId="13" xfId="0" applyNumberFormat="1" applyBorder="1" applyProtection="1"/>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31" fillId="0" borderId="0" xfId="0" applyFont="1" applyAlignment="1">
      <alignment horizontal="left" vertical="top" wrapText="1"/>
    </xf>
    <xf numFmtId="0" fontId="30"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28" fillId="0" borderId="0" xfId="0" applyFont="1" applyAlignment="1">
      <alignment horizontal="right"/>
    </xf>
    <xf numFmtId="0" fontId="0" fillId="2" borderId="9" xfId="0" applyFill="1" applyBorder="1" applyAlignment="1">
      <alignment horizontal="center"/>
    </xf>
    <xf numFmtId="0" fontId="10" fillId="0" borderId="0" xfId="0" applyFont="1" applyAlignment="1">
      <alignment horizontal="right" vertical="center"/>
    </xf>
    <xf numFmtId="0" fontId="6" fillId="0" borderId="0" xfId="0" applyFont="1" applyBorder="1" applyAlignment="1" applyProtection="1">
      <alignment horizontal="center" wrapText="1"/>
    </xf>
    <xf numFmtId="0" fontId="10" fillId="0" borderId="0" xfId="0" applyFont="1" applyAlignment="1">
      <alignment horizontal="center" vertical="center"/>
    </xf>
    <xf numFmtId="0" fontId="5" fillId="0" borderId="0" xfId="0" applyFont="1" applyBorder="1" applyAlignment="1">
      <alignment horizontal="right" vertical="top"/>
    </xf>
    <xf numFmtId="0" fontId="0" fillId="0" borderId="0" xfId="0" applyBorder="1" applyAlignment="1">
      <alignment horizontal="right"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center" vertical="center" wrapText="1"/>
    </xf>
    <xf numFmtId="0" fontId="10" fillId="0" borderId="5" xfId="0" applyFont="1" applyBorder="1" applyAlignment="1" applyProtection="1">
      <alignment horizontal="left"/>
      <protection locked="0"/>
    </xf>
    <xf numFmtId="0" fontId="12" fillId="0" borderId="18" xfId="0" applyFont="1" applyBorder="1" applyAlignment="1" applyProtection="1">
      <alignment horizontal="left"/>
      <protection locked="0"/>
    </xf>
    <xf numFmtId="168" fontId="10" fillId="0" borderId="0" xfId="0" applyNumberFormat="1" applyFont="1" applyBorder="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5" fillId="0" borderId="22" xfId="0" applyFont="1" applyBorder="1" applyAlignment="1">
      <alignment horizontal="right"/>
    </xf>
    <xf numFmtId="0" fontId="0" fillId="0" borderId="18" xfId="0" applyBorder="1" applyAlignment="1">
      <alignment horizontal="right"/>
    </xf>
    <xf numFmtId="0" fontId="0" fillId="0" borderId="8" xfId="0" applyBorder="1" applyAlignment="1">
      <alignment horizontal="right"/>
    </xf>
    <xf numFmtId="15" fontId="0" fillId="0" borderId="22" xfId="0" applyNumberFormat="1" applyBorder="1" applyAlignment="1">
      <alignment horizontal="left"/>
    </xf>
    <xf numFmtId="0" fontId="0" fillId="0" borderId="18" xfId="0" applyBorder="1" applyAlignment="1">
      <alignment horizontal="left"/>
    </xf>
    <xf numFmtId="0" fontId="0" fillId="0" borderId="8" xfId="0" applyBorder="1" applyAlignment="1">
      <alignment horizontal="left"/>
    </xf>
    <xf numFmtId="0" fontId="10" fillId="0" borderId="18" xfId="0" applyFont="1" applyBorder="1" applyProtection="1">
      <protection locked="0"/>
    </xf>
    <xf numFmtId="168" fontId="10" fillId="0" borderId="18" xfId="0" applyNumberFormat="1" applyFont="1" applyBorder="1" applyAlignment="1" applyProtection="1">
      <alignment horizontal="center"/>
      <protection locked="0"/>
    </xf>
    <xf numFmtId="0" fontId="8" fillId="0" borderId="5" xfId="0" applyFont="1" applyBorder="1" applyAlignment="1" applyProtection="1">
      <alignment horizontal="left"/>
      <protection locked="0"/>
    </xf>
    <xf numFmtId="0" fontId="10" fillId="0" borderId="0" xfId="0" applyFont="1" applyAlignment="1" applyProtection="1">
      <alignment horizontal="right" vertical="center"/>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0" fillId="0" borderId="18" xfId="0" applyBorder="1" applyAlignment="1" applyProtection="1">
      <alignment horizontal="left"/>
      <protection locked="0"/>
    </xf>
    <xf numFmtId="0" fontId="29" fillId="0" borderId="18" xfId="0" applyFont="1" applyBorder="1" applyAlignment="1" applyProtection="1">
      <alignment horizontal="left"/>
      <protection locked="0"/>
    </xf>
    <xf numFmtId="0" fontId="7" fillId="0" borderId="18" xfId="0" applyFont="1" applyFill="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168" fontId="10" fillId="0" borderId="18" xfId="0" applyNumberFormat="1" applyFont="1" applyBorder="1" applyAlignment="1">
      <alignment horizontal="center"/>
    </xf>
    <xf numFmtId="0" fontId="19" fillId="0" borderId="0" xfId="0" applyFont="1" applyBorder="1" applyAlignment="1">
      <alignment horizontal="center"/>
    </xf>
    <xf numFmtId="0" fontId="7" fillId="0" borderId="18" xfId="0" applyFont="1" applyFill="1" applyBorder="1" applyAlignment="1" applyProtection="1">
      <alignment horizontal="left" wrapText="1"/>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15">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15</xdr:col>
      <xdr:colOff>601133</xdr:colOff>
      <xdr:row>17</xdr:row>
      <xdr:rowOff>186267</xdr:rowOff>
    </xdr:from>
    <xdr:ext cx="9522735" cy="2628220"/>
    <xdr:sp macro="" textlink="">
      <xdr:nvSpPr>
        <xdr:cNvPr id="2" name="Rectangle 1">
          <a:extLst>
            <a:ext uri="{FF2B5EF4-FFF2-40B4-BE49-F238E27FC236}">
              <a16:creationId xmlns:a16="http://schemas.microsoft.com/office/drawing/2014/main" id="{8F922E07-49BD-6B4D-8DDB-84B113213D19}"/>
            </a:ext>
          </a:extLst>
        </xdr:cNvPr>
        <xdr:cNvSpPr/>
      </xdr:nvSpPr>
      <xdr:spPr>
        <a:xfrm>
          <a:off x="16823266" y="3623734"/>
          <a:ext cx="9522735" cy="2628220"/>
        </a:xfrm>
        <a:prstGeom prst="rect">
          <a:avLst/>
        </a:prstGeom>
        <a:noFill/>
      </xdr:spPr>
      <xdr:txBody>
        <a:bodyPr wrap="none" lIns="91440" tIns="45720" rIns="91440" bIns="45720">
          <a:spAutoFit/>
        </a:bodyPr>
        <a:lstStyle/>
        <a:p>
          <a:pPr algn="ctr"/>
          <a:r>
            <a:rPr lang="en-US" sz="5400" b="1" cap="none" spc="0">
              <a:ln w="10160">
                <a:solidFill>
                  <a:schemeClr val="accent5"/>
                </a:solidFill>
                <a:prstDash val="solid"/>
              </a:ln>
              <a:solidFill>
                <a:schemeClr val="bg1">
                  <a:lumMod val="50000"/>
                </a:schemeClr>
              </a:solidFill>
              <a:effectLst>
                <a:outerShdw blurRad="38100" dist="22860" dir="5400000" algn="tl" rotWithShape="0">
                  <a:srgbClr val="000000">
                    <a:alpha val="30000"/>
                  </a:srgbClr>
                </a:outerShdw>
              </a:effectLst>
            </a:rPr>
            <a:t>FOR PLANNING PURPOSES ONLY</a:t>
          </a:r>
        </a:p>
        <a:p>
          <a:pPr algn="ctr"/>
          <a:r>
            <a:rPr lang="en-US" sz="5400" b="1" cap="none" spc="0">
              <a:ln w="10160">
                <a:solidFill>
                  <a:schemeClr val="accent5"/>
                </a:solidFill>
                <a:prstDash val="solid"/>
              </a:ln>
              <a:solidFill>
                <a:schemeClr val="bg1">
                  <a:lumMod val="50000"/>
                </a:schemeClr>
              </a:solidFill>
              <a:effectLst>
                <a:outerShdw blurRad="38100" dist="22860" dir="5400000" algn="tl" rotWithShape="0">
                  <a:srgbClr val="000000">
                    <a:alpha val="30000"/>
                  </a:srgbClr>
                </a:outerShdw>
              </a:effectLst>
            </a:rPr>
            <a:t>DO</a:t>
          </a:r>
          <a:r>
            <a:rPr lang="en-US" sz="5400" b="1" cap="none" spc="0" baseline="0">
              <a:ln w="10160">
                <a:solidFill>
                  <a:schemeClr val="accent5"/>
                </a:solidFill>
                <a:prstDash val="solid"/>
              </a:ln>
              <a:solidFill>
                <a:schemeClr val="bg1">
                  <a:lumMod val="50000"/>
                </a:schemeClr>
              </a:solidFill>
              <a:effectLst>
                <a:outerShdw blurRad="38100" dist="22860" dir="5400000" algn="tl" rotWithShape="0">
                  <a:srgbClr val="000000">
                    <a:alpha val="30000"/>
                  </a:srgbClr>
                </a:outerShdw>
              </a:effectLst>
            </a:rPr>
            <a:t> NOT USE FOR EVENT</a:t>
          </a:r>
        </a:p>
        <a:p>
          <a:pPr algn="ctr"/>
          <a:r>
            <a:rPr lang="en-US" sz="5400" b="1" cap="none" spc="0" baseline="0">
              <a:ln w="10160">
                <a:solidFill>
                  <a:schemeClr val="accent5"/>
                </a:solidFill>
                <a:prstDash val="solid"/>
              </a:ln>
              <a:solidFill>
                <a:schemeClr val="bg1">
                  <a:lumMod val="50000"/>
                </a:schemeClr>
              </a:solidFill>
              <a:effectLst>
                <a:outerShdw blurRad="38100" dist="22860" dir="5400000" algn="tl" rotWithShape="0">
                  <a:srgbClr val="000000">
                    <a:alpha val="30000"/>
                  </a:srgbClr>
                </a:outerShdw>
              </a:effectLst>
            </a:rPr>
            <a:t>See G2G email for actual card</a:t>
          </a:r>
          <a:endParaRPr lang="en-US" sz="5400" b="1" cap="none" spc="0">
            <a:ln w="10160">
              <a:solidFill>
                <a:schemeClr val="accent5"/>
              </a:solidFill>
              <a:prstDash val="solid"/>
            </a:ln>
            <a:solidFill>
              <a:schemeClr val="bg1">
                <a:lumMod val="65000"/>
              </a:schemeClr>
            </a:solidFill>
            <a:effectLst>
              <a:outerShdw blurRad="38100" dist="22860" dir="5400000" algn="tl" rotWithShape="0">
                <a:srgbClr val="000000">
                  <a:alpha val="30000"/>
                </a:srgb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5EEAACE2-AD57-BD48-BB33-9A5E9F368AED}"/>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3"/>
  <sheetViews>
    <sheetView showGridLines="0" tabSelected="1" zoomScale="150" zoomScaleNormal="150" zoomScalePageLayoutView="135" workbookViewId="0">
      <selection activeCell="B6" sqref="B6"/>
    </sheetView>
  </sheetViews>
  <sheetFormatPr baseColWidth="10" defaultColWidth="8.83203125" defaultRowHeight="13" x14ac:dyDescent="0.15"/>
  <cols>
    <col min="1" max="1" width="16.5" style="2" customWidth="1"/>
    <col min="2" max="2" width="10.5" bestFit="1" customWidth="1"/>
    <col min="3" max="3" width="8.83203125" style="3" hidden="1" customWidth="1"/>
    <col min="4" max="4" width="8.33203125" customWidth="1"/>
    <col min="5" max="5" width="17" bestFit="1" customWidth="1"/>
    <col min="6" max="6" width="18" bestFit="1" customWidth="1"/>
    <col min="7" max="7" width="23.5" customWidth="1"/>
    <col min="8" max="8" width="25.1640625" bestFit="1" customWidth="1"/>
    <col min="9" max="11" width="31.1640625" customWidth="1"/>
    <col min="12" max="15" width="17.83203125" hidden="1" customWidth="1"/>
  </cols>
  <sheetData>
    <row r="1" spans="1:26" ht="20" customHeight="1" x14ac:dyDescent="0.2">
      <c r="A1" s="115" t="s">
        <v>83</v>
      </c>
      <c r="B1" s="115"/>
      <c r="C1" s="115"/>
      <c r="D1" s="115"/>
      <c r="E1" s="115"/>
      <c r="F1" s="115"/>
      <c r="G1" s="115"/>
      <c r="H1" s="115"/>
      <c r="I1" s="93" t="s">
        <v>85</v>
      </c>
      <c r="Q1" s="114" t="s">
        <v>89</v>
      </c>
      <c r="R1" s="114"/>
      <c r="S1" s="114"/>
      <c r="T1" s="114"/>
      <c r="U1" s="114"/>
      <c r="V1" s="114"/>
      <c r="W1" s="114"/>
      <c r="X1" s="114"/>
      <c r="Y1" s="114"/>
      <c r="Z1" s="114"/>
    </row>
    <row r="2" spans="1:26" ht="13" customHeight="1" thickBot="1" x14ac:dyDescent="0.2">
      <c r="H2" s="94"/>
      <c r="I2" s="94"/>
      <c r="Q2" s="114"/>
      <c r="R2" s="114"/>
      <c r="S2" s="114"/>
      <c r="T2" s="114"/>
      <c r="U2" s="114"/>
      <c r="V2" s="114"/>
      <c r="W2" s="114"/>
      <c r="X2" s="114"/>
      <c r="Y2" s="114"/>
      <c r="Z2" s="114"/>
    </row>
    <row r="3" spans="1:26" s="108" customFormat="1" ht="13" customHeight="1" thickBot="1" x14ac:dyDescent="0.2">
      <c r="A3" s="105" t="s">
        <v>82</v>
      </c>
      <c r="B3" s="106">
        <v>44700</v>
      </c>
      <c r="C3" s="107"/>
      <c r="D3" s="107"/>
      <c r="G3" s="107"/>
      <c r="H3" s="109"/>
      <c r="I3" s="109"/>
      <c r="Q3" s="114"/>
      <c r="R3" s="114"/>
      <c r="S3" s="114"/>
      <c r="T3" s="114"/>
      <c r="U3" s="114"/>
      <c r="V3" s="114"/>
      <c r="W3" s="114"/>
      <c r="X3" s="114"/>
      <c r="Y3" s="114"/>
      <c r="Z3" s="114"/>
    </row>
    <row r="4" spans="1:26" ht="13" customHeight="1" x14ac:dyDescent="0.15">
      <c r="A4" s="90" t="s">
        <v>86</v>
      </c>
      <c r="B4" s="104">
        <v>44745</v>
      </c>
      <c r="C4" s="92"/>
      <c r="D4" s="92"/>
      <c r="G4" s="92"/>
      <c r="H4" s="94"/>
      <c r="I4" s="94"/>
      <c r="Q4" s="114"/>
      <c r="R4" s="114"/>
      <c r="S4" s="114"/>
      <c r="T4" s="114"/>
      <c r="U4" s="114"/>
      <c r="V4" s="114"/>
      <c r="W4" s="114"/>
      <c r="X4" s="114"/>
      <c r="Y4" s="114"/>
      <c r="Z4" s="114"/>
    </row>
    <row r="5" spans="1:26" ht="14" thickBot="1" x14ac:dyDescent="0.2">
      <c r="H5" s="94"/>
      <c r="I5" s="94"/>
      <c r="Q5" s="114"/>
      <c r="R5" s="114"/>
      <c r="S5" s="114"/>
      <c r="T5" s="114"/>
      <c r="U5" s="114"/>
      <c r="V5" s="114"/>
      <c r="W5" s="114"/>
      <c r="X5" s="114"/>
      <c r="Y5" s="114"/>
      <c r="Z5" s="114"/>
    </row>
    <row r="6" spans="1:26" ht="18" x14ac:dyDescent="0.2">
      <c r="A6" s="11" t="s">
        <v>18</v>
      </c>
      <c r="B6" s="69">
        <v>600</v>
      </c>
      <c r="C6">
        <f>IF(Brevet_Length&gt;=1200,Brevet_Length,IF(Brevet_Length&gt;=1000,1000,IF(Brevet_Length&gt;=600,600,IF(Brevet_Length&gt;=400,400,IF(Brevet_Length&gt;=300,300,IF(Brevet_Length&gt;=200,200,100))))))</f>
        <v>600</v>
      </c>
      <c r="J6" s="119" t="s">
        <v>63</v>
      </c>
      <c r="K6" s="119"/>
      <c r="Q6" s="73" t="s">
        <v>64</v>
      </c>
      <c r="R6" s="73"/>
      <c r="S6" s="73"/>
      <c r="T6" s="73"/>
      <c r="U6" s="73"/>
      <c r="V6" s="73"/>
      <c r="W6" s="73"/>
    </row>
    <row r="7" spans="1:26" ht="14" thickBot="1" x14ac:dyDescent="0.2">
      <c r="A7" s="12" t="s">
        <v>19</v>
      </c>
      <c r="B7" s="13">
        <f>IF(brevet=1200,90,IF(brevet=1000,75,IF(brevet=600,40,IF(brevet=400,27,IF(brevet=300,20,IF(brevet=200,13.5,IF(brevet=100,7,0)))))))</f>
        <v>40</v>
      </c>
      <c r="Q7" t="s">
        <v>65</v>
      </c>
    </row>
    <row r="8" spans="1:26" ht="19" thickBot="1" x14ac:dyDescent="0.25">
      <c r="A8" s="12" t="s">
        <v>20</v>
      </c>
      <c r="B8" s="116" t="s">
        <v>124</v>
      </c>
      <c r="C8" s="117"/>
      <c r="D8" s="117"/>
      <c r="E8" s="117"/>
      <c r="F8" s="117"/>
      <c r="G8" s="117"/>
      <c r="H8" s="118"/>
      <c r="I8" s="27"/>
      <c r="J8" s="27"/>
      <c r="K8" s="27"/>
      <c r="O8" s="28"/>
      <c r="P8" s="28"/>
      <c r="Q8" s="73" t="s">
        <v>66</v>
      </c>
    </row>
    <row r="9" spans="1:26" ht="18" x14ac:dyDescent="0.2">
      <c r="A9" s="12" t="s">
        <v>21</v>
      </c>
      <c r="B9" s="70">
        <v>5161</v>
      </c>
      <c r="C9" s="24"/>
      <c r="F9" s="25"/>
      <c r="G9" s="25"/>
      <c r="H9" s="25"/>
      <c r="I9" s="25"/>
      <c r="J9" s="25"/>
      <c r="K9" s="25"/>
      <c r="Q9" s="73" t="s">
        <v>67</v>
      </c>
    </row>
    <row r="10" spans="1:26" ht="18" x14ac:dyDescent="0.2">
      <c r="A10" s="48" t="s">
        <v>48</v>
      </c>
      <c r="B10" s="71">
        <v>44758</v>
      </c>
      <c r="Q10" s="73" t="s">
        <v>68</v>
      </c>
    </row>
    <row r="11" spans="1:26" ht="6" customHeight="1" x14ac:dyDescent="0.15">
      <c r="B11" s="95"/>
    </row>
    <row r="12" spans="1:26" ht="18" customHeight="1" thickBot="1" x14ac:dyDescent="0.25">
      <c r="A12" s="89" t="s">
        <v>22</v>
      </c>
      <c r="B12" s="71">
        <v>44758</v>
      </c>
      <c r="Q12" s="73" t="s">
        <v>76</v>
      </c>
    </row>
    <row r="13" spans="1:26" ht="19" thickBot="1" x14ac:dyDescent="0.25">
      <c r="A13" s="10" t="s">
        <v>23</v>
      </c>
      <c r="B13" s="72">
        <v>0.25</v>
      </c>
      <c r="D13" s="111" t="s">
        <v>81</v>
      </c>
      <c r="E13" s="112"/>
      <c r="F13" s="112"/>
      <c r="G13" s="112"/>
      <c r="H13" s="112"/>
      <c r="I13" s="120" t="s">
        <v>71</v>
      </c>
      <c r="J13" s="112"/>
      <c r="K13" s="113"/>
      <c r="Q13" s="73" t="s">
        <v>75</v>
      </c>
    </row>
    <row r="14" spans="1:26" ht="14" thickBot="1" x14ac:dyDescent="0.2">
      <c r="D14" s="6" t="s">
        <v>24</v>
      </c>
      <c r="E14" s="7" t="s">
        <v>25</v>
      </c>
      <c r="F14" s="63" t="s">
        <v>26</v>
      </c>
      <c r="G14" s="63" t="s">
        <v>27</v>
      </c>
      <c r="H14" s="64" t="s">
        <v>28</v>
      </c>
      <c r="I14" s="7" t="s">
        <v>60</v>
      </c>
      <c r="J14" s="7" t="s">
        <v>61</v>
      </c>
      <c r="K14" s="8" t="s">
        <v>62</v>
      </c>
      <c r="L14" t="s">
        <v>3</v>
      </c>
      <c r="M14" t="s">
        <v>4</v>
      </c>
      <c r="N14" t="s">
        <v>5</v>
      </c>
      <c r="O14" t="s">
        <v>6</v>
      </c>
      <c r="Q14" s="73" t="s">
        <v>69</v>
      </c>
    </row>
    <row r="15" spans="1:26" ht="17" customHeight="1" x14ac:dyDescent="0.15">
      <c r="C15" s="3" t="s">
        <v>7</v>
      </c>
      <c r="D15" s="110">
        <v>0</v>
      </c>
      <c r="E15" s="75" t="s">
        <v>96</v>
      </c>
      <c r="F15" s="76" t="s">
        <v>94</v>
      </c>
      <c r="G15" s="76" t="s">
        <v>97</v>
      </c>
      <c r="H15" s="77" t="s">
        <v>125</v>
      </c>
      <c r="I15" s="76"/>
      <c r="J15" s="76"/>
      <c r="K15" s="77"/>
      <c r="L15" s="4">
        <f>Start_date+Start_time</f>
        <v>44758.25</v>
      </c>
      <c r="M15" s="4">
        <f>L15+"1:00"</f>
        <v>44758.291666666664</v>
      </c>
      <c r="N15" s="5">
        <f>IF(ISBLANK(Distance),"",Open Control_1)</f>
        <v>44758.25</v>
      </c>
      <c r="O15" s="5">
        <f>IF(ISBLANK(Distance),"",Close Control_1)</f>
        <v>44758.291666666664</v>
      </c>
      <c r="Q15" s="73" t="s">
        <v>84</v>
      </c>
    </row>
    <row r="16" spans="1:26" ht="17" customHeight="1" x14ac:dyDescent="0.15">
      <c r="B16" s="82"/>
      <c r="C16" s="3" t="s">
        <v>8</v>
      </c>
      <c r="D16" s="26">
        <v>50.7</v>
      </c>
      <c r="E16" s="75" t="s">
        <v>121</v>
      </c>
      <c r="F16" s="76" t="s">
        <v>91</v>
      </c>
      <c r="G16" s="76" t="s">
        <v>122</v>
      </c>
      <c r="H16" s="77" t="s">
        <v>123</v>
      </c>
      <c r="I16" s="76" t="s">
        <v>133</v>
      </c>
      <c r="J16" s="76" t="s">
        <v>132</v>
      </c>
      <c r="K16" s="77"/>
      <c r="L16">
        <f>IF(ISBLANK(Distance),"",IF(Distance&gt;1000,(Distance-1000)/26+33.0847,(IF(Distance&gt;600,(Distance-600)/28+18.799,(IF(Distance&gt;400,(Distance-400)/30+12.1324,(IF(Distance&gt;200,(Distance-200)/32+5.8824,Distance/34))))))))</f>
        <v>1.4911764705882353</v>
      </c>
      <c r="M16">
        <f t="shared" ref="M16:M24" si="0">IF(ISBLANK(Distance),"",IF(Distance&gt;=brevet,IF(brevet&gt;1200,(brevet-1200)*75/1000+90,Max_time),IF(Distance&gt;1200,(Distance-1200)*75/1000+90,IF(Distance&gt;1000,(Distance-1000)/(1000/75)+75,IF(Distance&gt;600,(Distance-600)/(400/35)+40,IF(Distance&lt;=60,(Distance/20+1),Distance/15))))))</f>
        <v>3.5350000000000001</v>
      </c>
      <c r="N16" s="5">
        <f>IF(ISBLANK(Distance),"",Open_time Control_1+(INT(Open)&amp;":"&amp;IF(ROUND(((Open-INT(Open))*60),0)&lt;10,0,"")&amp;ROUND(((Open-INT(Open))*60),0)))</f>
        <v>44758.311805555553</v>
      </c>
      <c r="O16" s="5">
        <f>IF(ISBLANK(Distance),"",Open_time Control_1+(INT(Close)&amp;":"&amp;IF(ROUND(((Close-INT(Close))*60),0)&lt;10,0,"")&amp;ROUND(((Close-INT(Close))*60),0)))</f>
        <v>44758.397222222222</v>
      </c>
      <c r="Q16" s="73" t="s">
        <v>70</v>
      </c>
    </row>
    <row r="17" spans="2:17" ht="17" customHeight="1" x14ac:dyDescent="0.15">
      <c r="B17" s="82"/>
      <c r="C17" s="3" t="s">
        <v>9</v>
      </c>
      <c r="D17" s="26">
        <v>138.1</v>
      </c>
      <c r="E17" s="75" t="s">
        <v>92</v>
      </c>
      <c r="F17" s="76" t="s">
        <v>91</v>
      </c>
      <c r="G17" s="76" t="s">
        <v>136</v>
      </c>
      <c r="H17" s="77" t="s">
        <v>100</v>
      </c>
      <c r="I17" s="76" t="s">
        <v>137</v>
      </c>
      <c r="J17" s="76" t="s">
        <v>138</v>
      </c>
      <c r="K17" s="77"/>
      <c r="L17">
        <f>IF(ISBLANK(Distance),"",IF(Distance&gt;1000,(Distance-1000)/26+33.0847,(IF(Distance&gt;600,(Distance-600)/28+18.799,(IF(Distance&gt;400,(Distance-400)/30+12.1324,(IF(Distance&gt;200,(Distance-200)/32+5.8824,Distance/34))))))))</f>
        <v>4.0617647058823527</v>
      </c>
      <c r="M17">
        <f t="shared" si="0"/>
        <v>9.206666666666667</v>
      </c>
      <c r="N17" s="5">
        <f>IF(ISBLANK(Distance),"",Open_time Control_1+(INT(Open)&amp;":"&amp;IF(ROUND(((Open-INT(Open))*60),0)&lt;10,0,"")&amp;ROUND(((Open-INT(Open))*60),0)))</f>
        <v>44758.419444444444</v>
      </c>
      <c r="O17" s="5">
        <f>IF(ISBLANK(Distance),"",Open_time Control_1+(INT(Close)&amp;":"&amp;IF(ROUND(((Close-INT(Close))*60),0)&lt;10,0,"")&amp;ROUND(((Close-INT(Close))*60),0)))</f>
        <v>44758.633333333331</v>
      </c>
    </row>
    <row r="18" spans="2:17" ht="17" customHeight="1" x14ac:dyDescent="0.15">
      <c r="B18" s="82"/>
      <c r="C18" s="3" t="s">
        <v>10</v>
      </c>
      <c r="D18" s="26">
        <v>203.7</v>
      </c>
      <c r="E18" s="75" t="s">
        <v>93</v>
      </c>
      <c r="F18" s="76" t="s">
        <v>94</v>
      </c>
      <c r="G18" s="76" t="s">
        <v>101</v>
      </c>
      <c r="H18" s="77" t="s">
        <v>102</v>
      </c>
      <c r="I18" s="76"/>
      <c r="J18" s="76"/>
      <c r="K18" s="77"/>
      <c r="L18">
        <f t="shared" ref="L18:L24" si="1">IF(ISBLANK(Distance),"",IF(Distance&gt;1000,(Distance-1000)/26+33.0847,(IF(Distance&gt;600,(Distance-600)/28+18.799,(IF(Distance&gt;400,(Distance-400)/30+12.1324,(IF(Distance&gt;200,(Distance-200)/32+5.8824,Distance/34))))))))</f>
        <v>5.9980249999999993</v>
      </c>
      <c r="M18">
        <f t="shared" si="0"/>
        <v>13.58</v>
      </c>
      <c r="N18" s="5">
        <f>IF(ISBLANK(Distance),"",Open_time Control_1+(INT(Open)&amp;":"&amp;IF(ROUND(((Open-INT(Open))*60),0)&lt;10,0,"")&amp;ROUND(((Open-INT(Open))*60),0)))</f>
        <v>44758.5</v>
      </c>
      <c r="O18" s="5">
        <f>IF(ISBLANK(Distance),"",Open_time Control_1+(INT(Close)&amp;":"&amp;IF(ROUND(((Close-INT(Close))*60),0)&lt;10,0,"")&amp;ROUND(((Close-INT(Close))*60),0)))</f>
        <v>44758.815972222219</v>
      </c>
    </row>
    <row r="19" spans="2:17" ht="17" customHeight="1" x14ac:dyDescent="0.15">
      <c r="B19" s="82"/>
      <c r="C19" s="3" t="s">
        <v>11</v>
      </c>
      <c r="D19" s="26">
        <v>258.2</v>
      </c>
      <c r="E19" s="75" t="s">
        <v>103</v>
      </c>
      <c r="F19" s="76" t="s">
        <v>94</v>
      </c>
      <c r="G19" s="76" t="s">
        <v>104</v>
      </c>
      <c r="H19" s="77" t="s">
        <v>105</v>
      </c>
      <c r="I19" s="76"/>
      <c r="J19" s="76"/>
      <c r="K19" s="77"/>
      <c r="L19">
        <f t="shared" si="1"/>
        <v>7.7011499999999993</v>
      </c>
      <c r="M19">
        <f t="shared" si="0"/>
        <v>17.213333333333331</v>
      </c>
      <c r="N19" s="5">
        <f>IF(ISBLANK(Distance),"",Open_time Control_1+(INT(Open)&amp;":"&amp;IF(ROUND(((Open-INT(Open))*60),0)&lt;10,0,"")&amp;ROUND(((Open-INT(Open))*60),0)))</f>
        <v>44758.570833333331</v>
      </c>
      <c r="O19" s="5">
        <f>IF(ISBLANK(Distance),"",Open_time Control_1+(INT(Close)&amp;":"&amp;IF(ROUND(((Close-INT(Close))*60),0)&lt;10,0,"")&amp;ROUND(((Close-INT(Close))*60),0)))</f>
        <v>44758.967361111114</v>
      </c>
      <c r="Q19" s="87"/>
    </row>
    <row r="20" spans="2:17" ht="17" customHeight="1" x14ac:dyDescent="0.15">
      <c r="B20" s="82"/>
      <c r="C20" s="3" t="s">
        <v>12</v>
      </c>
      <c r="D20" s="26">
        <v>367.6</v>
      </c>
      <c r="E20" s="75" t="s">
        <v>96</v>
      </c>
      <c r="F20" s="76" t="s">
        <v>94</v>
      </c>
      <c r="G20" s="76" t="s">
        <v>98</v>
      </c>
      <c r="H20" s="77" t="s">
        <v>99</v>
      </c>
      <c r="I20" s="76" t="s">
        <v>106</v>
      </c>
      <c r="J20" s="76"/>
      <c r="K20" s="77"/>
      <c r="L20">
        <f t="shared" si="1"/>
        <v>11.119900000000001</v>
      </c>
      <c r="M20">
        <f t="shared" si="0"/>
        <v>24.506666666666668</v>
      </c>
      <c r="N20" s="5">
        <f>IF(ISBLANK(Distance),"",Open_time Control_1+(INT(Open)&amp;":"&amp;IF(ROUND(((Open-INT(Open))*60),0)&lt;10,0,"")&amp;ROUND(((Open-INT(Open))*60),0)))</f>
        <v>44758.713194444441</v>
      </c>
      <c r="O20" s="5">
        <f>IF(ISBLANK(Distance),"",Open_time Control_1+(INT(Close)&amp;":"&amp;IF(ROUND(((Close-INT(Close))*60),0)&lt;10,0,"")&amp;ROUND(((Close-INT(Close))*60),0)))</f>
        <v>44759.270833333336</v>
      </c>
    </row>
    <row r="21" spans="2:17" ht="17" customHeight="1" x14ac:dyDescent="0.15">
      <c r="B21" s="82"/>
      <c r="C21" s="3" t="s">
        <v>13</v>
      </c>
      <c r="D21" s="26"/>
      <c r="E21" s="75"/>
      <c r="F21" s="76"/>
      <c r="G21" s="76"/>
      <c r="H21" s="77"/>
      <c r="I21" s="76"/>
      <c r="J21" s="76"/>
      <c r="K21" s="77"/>
      <c r="L21" t="str">
        <f t="shared" si="1"/>
        <v/>
      </c>
      <c r="M21" t="str">
        <f t="shared" si="0"/>
        <v/>
      </c>
      <c r="N21" s="5" t="str">
        <f>IF(ISBLANK(Distance),"",Open_time Control_1+(INT(Open)&amp;":"&amp;IF(ROUND(((Open-INT(Open))*60),0)&lt;10,0,"")&amp;ROUND(((Open-INT(Open))*60),0)))</f>
        <v/>
      </c>
      <c r="O21" s="5" t="str">
        <f>IF(ISBLANK(Distance),"",Open_time Control_1+(INT(Close)&amp;":"&amp;IF(ROUND(((Close-INT(Close))*60),0)&lt;10,0,"")&amp;ROUND(((Close-INT(Close))*60),0)))</f>
        <v/>
      </c>
    </row>
    <row r="22" spans="2:17" ht="17" customHeight="1" x14ac:dyDescent="0.15">
      <c r="B22" s="82"/>
      <c r="C22" s="3" t="s">
        <v>14</v>
      </c>
      <c r="D22" s="26"/>
      <c r="E22" s="75"/>
      <c r="F22" s="76"/>
      <c r="G22" s="76"/>
      <c r="H22" s="77"/>
      <c r="I22" s="76"/>
      <c r="J22" s="76"/>
      <c r="K22" s="77"/>
      <c r="L22" t="str">
        <f t="shared" si="1"/>
        <v/>
      </c>
      <c r="M22" t="str">
        <f t="shared" si="0"/>
        <v/>
      </c>
      <c r="N22" s="5" t="str">
        <f>IF(ISBLANK(Distance),"",Open_time Control_1+(INT(Open)&amp;":"&amp;IF(ROUND(((Open-INT(Open))*60),0)&lt;10,0,"")&amp;ROUND(((Open-INT(Open))*60),0)))</f>
        <v/>
      </c>
      <c r="O22" s="5" t="str">
        <f>IF(ISBLANK(Distance),"",Open_time Control_1+(INT(Close)&amp;":"&amp;IF(ROUND(((Close-INT(Close))*60),0)&lt;10,0,"")&amp;ROUND(((Close-INT(Close))*60),0)))</f>
        <v/>
      </c>
    </row>
    <row r="23" spans="2:17" ht="17" customHeight="1" x14ac:dyDescent="0.15">
      <c r="B23" s="82"/>
      <c r="C23" s="3" t="s">
        <v>15</v>
      </c>
      <c r="D23" s="26"/>
      <c r="E23" s="75"/>
      <c r="F23" s="76"/>
      <c r="G23" s="76"/>
      <c r="H23" s="77"/>
      <c r="I23" s="76"/>
      <c r="J23" s="76"/>
      <c r="K23" s="77"/>
      <c r="L23" t="str">
        <f t="shared" si="1"/>
        <v/>
      </c>
      <c r="M23" t="str">
        <f t="shared" si="0"/>
        <v/>
      </c>
      <c r="N23" s="5" t="str">
        <f>IF(ISBLANK(Distance),"",Open_time Control_1+(INT(Open)&amp;":"&amp;IF(ROUND(((Open-INT(Open))*60),0)&lt;10,0,"")&amp;ROUND(((Open-INT(Open))*60),0)))</f>
        <v/>
      </c>
      <c r="O23" s="5" t="str">
        <f>IF(ISBLANK(Distance),"",Open_time Control_1+(INT(Close)&amp;":"&amp;IF(ROUND(((Close-INT(Close))*60),0)&lt;10,0,"")&amp;ROUND(((Close-INT(Close))*60),0)))</f>
        <v/>
      </c>
    </row>
    <row r="24" spans="2:17" ht="17" customHeight="1" thickBot="1" x14ac:dyDescent="0.2">
      <c r="B24" s="82"/>
      <c r="C24" s="3" t="s">
        <v>16</v>
      </c>
      <c r="D24" s="52"/>
      <c r="E24" s="78"/>
      <c r="F24" s="79"/>
      <c r="G24" s="79"/>
      <c r="H24" s="80"/>
      <c r="I24" s="79"/>
      <c r="J24" s="79"/>
      <c r="K24" s="80"/>
      <c r="L24" t="str">
        <f t="shared" si="1"/>
        <v/>
      </c>
      <c r="M24" t="str">
        <f t="shared" si="0"/>
        <v/>
      </c>
      <c r="N24" s="5" t="str">
        <f>IF(ISBLANK(Distance),"",Open_time Control_1+(INT(Open)&amp;":"&amp;IF(ROUND(((Open-INT(Open))*60),0)&lt;10,0,"")&amp;ROUND(((Open-INT(Open))*60),0)))</f>
        <v/>
      </c>
      <c r="O24" s="5" t="str">
        <f>IF(ISBLANK(Distance),"",Open_time Control_1+(INT(Close)&amp;":"&amp;IF(ROUND(((Close-INT(Close))*60),0)&lt;10,0,"")&amp;ROUND(((Close-INT(Close))*60),0)))</f>
        <v/>
      </c>
    </row>
    <row r="25" spans="2:17" ht="7" customHeight="1" thickBot="1" x14ac:dyDescent="0.25">
      <c r="D25" s="65"/>
      <c r="E25" s="66"/>
      <c r="F25" s="67"/>
      <c r="G25" s="67"/>
      <c r="H25" s="67"/>
      <c r="I25" s="67"/>
      <c r="J25" s="67"/>
      <c r="K25" s="68"/>
      <c r="N25" s="5"/>
      <c r="O25" s="5"/>
    </row>
    <row r="26" spans="2:17" ht="14" thickBot="1" x14ac:dyDescent="0.2">
      <c r="D26" s="111" t="s">
        <v>77</v>
      </c>
      <c r="E26" s="112"/>
      <c r="F26" s="112"/>
      <c r="G26" s="112"/>
      <c r="H26" s="112"/>
      <c r="I26" s="120" t="s">
        <v>72</v>
      </c>
      <c r="J26" s="112"/>
      <c r="K26" s="113"/>
    </row>
    <row r="27" spans="2:17" ht="14" thickBot="1" x14ac:dyDescent="0.2">
      <c r="D27" s="6" t="s">
        <v>24</v>
      </c>
      <c r="E27" s="7" t="s">
        <v>25</v>
      </c>
      <c r="F27" s="63" t="s">
        <v>26</v>
      </c>
      <c r="G27" s="63" t="s">
        <v>27</v>
      </c>
      <c r="H27" s="64" t="s">
        <v>28</v>
      </c>
      <c r="I27" s="7" t="s">
        <v>60</v>
      </c>
      <c r="J27" s="7" t="s">
        <v>61</v>
      </c>
      <c r="K27" s="8" t="s">
        <v>62</v>
      </c>
      <c r="L27" t="s">
        <v>3</v>
      </c>
      <c r="M27" t="s">
        <v>4</v>
      </c>
      <c r="N27" t="s">
        <v>5</v>
      </c>
      <c r="O27" t="s">
        <v>6</v>
      </c>
    </row>
    <row r="28" spans="2:17" ht="17" customHeight="1" x14ac:dyDescent="0.15">
      <c r="D28" s="26">
        <v>392.9</v>
      </c>
      <c r="E28" s="75" t="s">
        <v>107</v>
      </c>
      <c r="F28" s="76" t="s">
        <v>91</v>
      </c>
      <c r="G28" s="76" t="s">
        <v>108</v>
      </c>
      <c r="H28" s="77" t="s">
        <v>109</v>
      </c>
      <c r="I28" s="76" t="s">
        <v>130</v>
      </c>
      <c r="J28" s="76" t="s">
        <v>131</v>
      </c>
      <c r="K28" s="77"/>
      <c r="L28">
        <f>IF(ISBLANK(D28),"",IF(D28&gt;1000,(D28-1000)/26+33.0847,(IF(D28&gt;600,(D28-600)/28+18.799,(IF(D28&gt;400,(D28-400)/30+12.1324,(IF(D28&gt;200,(D28-200)/32+5.8824,D28/34))))))))</f>
        <v>11.910525</v>
      </c>
      <c r="M28">
        <f t="shared" ref="M28:M37" si="2">IF(ISBLANK(D28),"",IF((D28=0),1,IF(D28&gt;=brevet,IF(brevet&gt;1200,(brevet-1200)*75/1000+90,Max_time),IF(D28&gt;1200,(D28-1200)*75/1000+90,IF(D28&gt;1000,(D28-1000)/(1000/75)+75,IF(D28&gt;600,(D28-600)/(400/35)+40,IF(D28&lt;=60,D28/20+1,D28/15)))))))</f>
        <v>26.193333333333332</v>
      </c>
      <c r="N28" s="5">
        <f>IF(ISBLANK(D28),"",Open_time Control_1+(INT(L28)&amp;":"&amp;IF(ROUND(((L28-INT(L28))*60),0)&lt;10,0,"")&amp;ROUND(((L28-INT(L28))*60),0)))</f>
        <v>44758.746527777781</v>
      </c>
      <c r="O28" s="5">
        <f>IF(ISBLANK(D28),"",Open_time Control_1+(INT(M28)&amp;":"&amp;IF(ROUND(((M28-INT(M28))*60),0)&lt;10,0,"")&amp;ROUND(((M28-INT(M28))*60),0)))</f>
        <v>44759.341666666667</v>
      </c>
    </row>
    <row r="29" spans="2:17" ht="17" customHeight="1" x14ac:dyDescent="0.15">
      <c r="D29" s="26">
        <v>443.9</v>
      </c>
      <c r="E29" s="75" t="s">
        <v>110</v>
      </c>
      <c r="F29" s="76" t="s">
        <v>91</v>
      </c>
      <c r="G29" s="76" t="s">
        <v>111</v>
      </c>
      <c r="H29" s="77" t="s">
        <v>112</v>
      </c>
      <c r="I29" s="76" t="s">
        <v>126</v>
      </c>
      <c r="J29" s="76" t="s">
        <v>127</v>
      </c>
      <c r="K29" s="77"/>
      <c r="L29">
        <f t="shared" ref="L29:L37" si="3">IF(ISBLANK(D29),"",IF(D29&gt;1000,(D29-1000)/26+33.0847,(IF(D29&gt;600,(D29-600)/28+18.799,(IF(D29&gt;400,(D29-400)/30+12.1324,(IF(D29&gt;200,(D29-200)/32+5.8824,D29/34))))))))</f>
        <v>13.595733333333333</v>
      </c>
      <c r="M29">
        <f t="shared" si="2"/>
        <v>29.59333333333333</v>
      </c>
      <c r="N29" s="5">
        <f>IF(ISBLANK(D29),"",Open_time Control_1+(INT(L29)&amp;":"&amp;IF(ROUND(((L29-INT(L29))*60),0)&lt;10,0,"")&amp;ROUND(((L29-INT(L29))*60),0)))</f>
        <v>44758.816666666666</v>
      </c>
      <c r="O29" s="5">
        <f>IF(ISBLANK(D29),"",Open_time Control_1+(INT(M29)&amp;":"&amp;IF(ROUND(((M29-INT(M29))*60),0)&lt;10,0,"")&amp;ROUND(((M29-INT(M29))*60),0)))</f>
        <v>44759.48333333333</v>
      </c>
    </row>
    <row r="30" spans="2:17" ht="17" customHeight="1" x14ac:dyDescent="0.15">
      <c r="D30" s="26">
        <v>462</v>
      </c>
      <c r="E30" s="75" t="s">
        <v>118</v>
      </c>
      <c r="F30" s="76" t="s">
        <v>91</v>
      </c>
      <c r="G30" s="76" t="s">
        <v>120</v>
      </c>
      <c r="H30" s="77" t="s">
        <v>119</v>
      </c>
      <c r="I30" s="76" t="s">
        <v>129</v>
      </c>
      <c r="J30" s="76" t="s">
        <v>128</v>
      </c>
      <c r="K30" s="77"/>
      <c r="L30">
        <f t="shared" si="3"/>
        <v>14.199066666666667</v>
      </c>
      <c r="M30">
        <f t="shared" si="2"/>
        <v>30.8</v>
      </c>
      <c r="N30" s="5">
        <f>IF(ISBLANK(D30),"",Open_time Control_1+(INT(L30)&amp;":"&amp;IF(ROUND(((L30-INT(L30))*60),0)&lt;10,0,"")&amp;ROUND(((L30-INT(L30))*60),0)))</f>
        <v>44758.841666666667</v>
      </c>
      <c r="O30" s="5">
        <f>IF(ISBLANK(D30),"",Open_time Control_1+(INT(M30)&amp;":"&amp;IF(ROUND(((M30-INT(M30))*60),0)&lt;10,0,"")&amp;ROUND(((M30-INT(M30))*60),0)))</f>
        <v>44759.533333333333</v>
      </c>
    </row>
    <row r="31" spans="2:17" ht="17" customHeight="1" x14ac:dyDescent="0.15">
      <c r="D31" s="26">
        <v>489.9</v>
      </c>
      <c r="E31" s="75" t="s">
        <v>113</v>
      </c>
      <c r="F31" s="76" t="s">
        <v>94</v>
      </c>
      <c r="G31" s="76" t="s">
        <v>95</v>
      </c>
      <c r="H31" s="77" t="s">
        <v>116</v>
      </c>
      <c r="I31" s="76"/>
      <c r="J31" s="76"/>
      <c r="K31" s="77"/>
      <c r="L31">
        <f t="shared" si="3"/>
        <v>15.129066666666667</v>
      </c>
      <c r="M31">
        <f t="shared" si="2"/>
        <v>32.659999999999997</v>
      </c>
      <c r="N31" s="5">
        <f>IF(ISBLANK(D31),"",Open_time Control_1+(INT(L31)&amp;":"&amp;IF(ROUND(((L31-INT(L31))*60),0)&lt;10,0,"")&amp;ROUND(((L31-INT(L31))*60),0)))</f>
        <v>44758.880555555559</v>
      </c>
      <c r="O31" s="5">
        <f>IF(ISBLANK(D31),"",Open_time Control_1+(INT(M31)&amp;":"&amp;IF(ROUND(((M31-INT(M31))*60),0)&lt;10,0,"")&amp;ROUND(((M31-INT(M31))*60),0)))</f>
        <v>44759.611111111109</v>
      </c>
    </row>
    <row r="32" spans="2:17" ht="17" customHeight="1" x14ac:dyDescent="0.15">
      <c r="D32" s="26">
        <v>510</v>
      </c>
      <c r="E32" s="75" t="s">
        <v>114</v>
      </c>
      <c r="F32" s="76" t="s">
        <v>91</v>
      </c>
      <c r="G32" s="76" t="s">
        <v>115</v>
      </c>
      <c r="H32" s="77" t="s">
        <v>117</v>
      </c>
      <c r="I32" s="76" t="s">
        <v>134</v>
      </c>
      <c r="J32" s="76" t="s">
        <v>135</v>
      </c>
      <c r="K32" s="77"/>
      <c r="L32">
        <f t="shared" si="3"/>
        <v>15.799066666666667</v>
      </c>
      <c r="M32">
        <f t="shared" si="2"/>
        <v>34</v>
      </c>
      <c r="N32" s="5">
        <f>IF(ISBLANK(D32),"",Open_time Control_1+(INT(L32)&amp;":"&amp;IF(ROUND(((L32-INT(L32))*60),0)&lt;10,0,"")&amp;ROUND(((L32-INT(L32))*60),0)))</f>
        <v>44758.908333333333</v>
      </c>
      <c r="O32" s="5">
        <f>IF(ISBLANK(D32),"",Open_time Control_1+(INT(M32)&amp;":"&amp;IF(ROUND(((M32-INT(M32))*60),0)&lt;10,0,"")&amp;ROUND(((M32-INT(M32))*60),0)))</f>
        <v>44759.666666666664</v>
      </c>
    </row>
    <row r="33" spans="4:15" ht="17" customHeight="1" x14ac:dyDescent="0.15">
      <c r="D33" s="26">
        <v>601.20000000000005</v>
      </c>
      <c r="E33" s="75" t="s">
        <v>96</v>
      </c>
      <c r="F33" s="76" t="s">
        <v>94</v>
      </c>
      <c r="G33" s="76" t="s">
        <v>97</v>
      </c>
      <c r="H33" s="77" t="s">
        <v>125</v>
      </c>
      <c r="I33" s="76"/>
      <c r="J33" s="76"/>
      <c r="K33" s="77"/>
      <c r="L33">
        <f t="shared" si="3"/>
        <v>18.841857142857144</v>
      </c>
      <c r="M33">
        <f t="shared" si="2"/>
        <v>40</v>
      </c>
      <c r="N33" s="5">
        <f>IF(ISBLANK(D33),"",Open_time Control_1+(INT(L33)&amp;":"&amp;IF(ROUND(((L33-INT(L33))*60),0)&lt;10,0,"")&amp;ROUND(((L33-INT(L33))*60),0)))</f>
        <v>44759.035416666666</v>
      </c>
      <c r="O33" s="5">
        <f>IF(ISBLANK(D33),"",Open_time Control_1+(INT(M33)&amp;":"&amp;IF(ROUND(((M33-INT(M33))*60),0)&lt;10,0,"")&amp;ROUND(((M33-INT(M33))*60),0)))</f>
        <v>44759.916666666664</v>
      </c>
    </row>
    <row r="34" spans="4:15" ht="17" customHeight="1" x14ac:dyDescent="0.15">
      <c r="D34" s="26"/>
      <c r="E34" s="75"/>
      <c r="F34" s="76"/>
      <c r="G34" s="76"/>
      <c r="H34" s="77"/>
      <c r="I34" s="76"/>
      <c r="J34" s="76"/>
      <c r="K34" s="77"/>
      <c r="L34" t="str">
        <f t="shared" si="3"/>
        <v/>
      </c>
      <c r="M34" t="str">
        <f t="shared" si="2"/>
        <v/>
      </c>
      <c r="N34" s="5" t="str">
        <f>IF(ISBLANK(D34),"",Open_time Control_1+(INT(L34)&amp;":"&amp;IF(ROUND(((L34-INT(L34))*60),0)&lt;10,0,"")&amp;ROUND(((L34-INT(L34))*60),0)))</f>
        <v/>
      </c>
      <c r="O34" s="5" t="str">
        <f>IF(ISBLANK(D34),"",Open_time Control_1+(INT(M34)&amp;":"&amp;IF(ROUND(((M34-INT(M34))*60),0)&lt;10,0,"")&amp;ROUND(((M34-INT(M34))*60),0)))</f>
        <v/>
      </c>
    </row>
    <row r="35" spans="4:15" ht="17" customHeight="1" x14ac:dyDescent="0.15">
      <c r="D35" s="26"/>
      <c r="E35" s="75"/>
      <c r="F35" s="76"/>
      <c r="G35" s="76"/>
      <c r="H35" s="77"/>
      <c r="I35" s="76"/>
      <c r="J35" s="76"/>
      <c r="K35" s="77"/>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 customHeight="1" x14ac:dyDescent="0.15">
      <c r="D36" s="26"/>
      <c r="E36" s="75"/>
      <c r="F36" s="76"/>
      <c r="G36" s="76"/>
      <c r="H36" s="77"/>
      <c r="I36" s="76"/>
      <c r="J36" s="76"/>
      <c r="K36" s="77"/>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17" customHeight="1" thickBot="1" x14ac:dyDescent="0.2">
      <c r="D37" s="52"/>
      <c r="E37" s="78"/>
      <c r="F37" s="79"/>
      <c r="G37" s="79"/>
      <c r="H37" s="80"/>
      <c r="I37" s="79"/>
      <c r="J37" s="79"/>
      <c r="K37" s="80"/>
      <c r="L37" t="str">
        <f t="shared" si="3"/>
        <v/>
      </c>
      <c r="M37" t="str">
        <f t="shared" si="2"/>
        <v/>
      </c>
      <c r="N37" s="5" t="str">
        <f>IF(ISBLANK(D37),"",Open_time Control_1+(INT(L37)&amp;":"&amp;IF(ROUND(((L37-INT(L37))*60),0)&lt;10,0,"")&amp;ROUND(((L37-INT(L37))*60),0)))</f>
        <v/>
      </c>
      <c r="O37" s="5" t="str">
        <f>IF(ISBLANK(D37),"",Open_time Control_1+(INT(M37)&amp;":"&amp;IF(ROUND(((M37-INT(M37))*60),0)&lt;10,0,"")&amp;ROUND(((M37-INT(M37))*60),0)))</f>
        <v/>
      </c>
    </row>
    <row r="38" spans="4:15" ht="7" customHeight="1" thickBot="1" x14ac:dyDescent="0.25">
      <c r="D38" s="65"/>
      <c r="E38" s="66"/>
      <c r="F38" s="67"/>
      <c r="G38" s="67"/>
      <c r="H38" s="67"/>
      <c r="I38" s="67"/>
      <c r="J38" s="67"/>
      <c r="K38" s="68"/>
      <c r="N38" s="5"/>
      <c r="O38" s="5"/>
    </row>
    <row r="39" spans="4:15" ht="14" thickBot="1" x14ac:dyDescent="0.2">
      <c r="D39" s="111" t="s">
        <v>79</v>
      </c>
      <c r="E39" s="112"/>
      <c r="F39" s="112"/>
      <c r="G39" s="112"/>
      <c r="H39" s="112"/>
      <c r="I39" s="111" t="s">
        <v>78</v>
      </c>
      <c r="J39" s="112"/>
      <c r="K39" s="113"/>
    </row>
    <row r="40" spans="4:15" ht="14" thickBot="1" x14ac:dyDescent="0.2">
      <c r="D40" s="6" t="s">
        <v>24</v>
      </c>
      <c r="E40" s="7" t="s">
        <v>25</v>
      </c>
      <c r="F40" s="63" t="s">
        <v>26</v>
      </c>
      <c r="G40" s="63" t="s">
        <v>27</v>
      </c>
      <c r="H40" s="88" t="s">
        <v>28</v>
      </c>
      <c r="I40" s="7" t="s">
        <v>60</v>
      </c>
      <c r="J40" s="7" t="s">
        <v>61</v>
      </c>
      <c r="K40" s="8" t="s">
        <v>62</v>
      </c>
      <c r="L40" t="s">
        <v>3</v>
      </c>
      <c r="M40" t="s">
        <v>4</v>
      </c>
      <c r="N40" t="s">
        <v>5</v>
      </c>
      <c r="O40" t="s">
        <v>6</v>
      </c>
    </row>
    <row r="41" spans="4:15" ht="17" customHeight="1" x14ac:dyDescent="0.15">
      <c r="D41" s="26"/>
      <c r="E41" s="75"/>
      <c r="F41" s="76"/>
      <c r="G41" s="76"/>
      <c r="H41" s="77"/>
      <c r="I41" s="76"/>
      <c r="J41" s="76"/>
      <c r="K41" s="77"/>
      <c r="L41" t="str">
        <f>IF(ISBLANK(D41),"",IF(D41&gt;1000,(D41-1000)/26+33.0847,(IF(D41&gt;600,(D41-600)/28+18.799,(IF(D41&gt;400,(D41-400)/30+12.1324,(IF(D41&gt;200,(D41-200)/32+5.8824,D41/34))))))))</f>
        <v/>
      </c>
      <c r="M41" t="str">
        <f t="shared" ref="M41:M50" si="4">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7" customHeight="1" x14ac:dyDescent="0.15">
      <c r="D42" s="26"/>
      <c r="E42" s="75"/>
      <c r="F42" s="76"/>
      <c r="G42" s="76"/>
      <c r="H42" s="77"/>
      <c r="I42" s="76"/>
      <c r="J42" s="76"/>
      <c r="K42" s="77"/>
      <c r="L42" t="str">
        <f t="shared" ref="L42:L50" si="5">IF(ISBLANK(D42),"",IF(D42&gt;1000,(D42-1000)/26+33.0847,(IF(D42&gt;600,(D42-600)/28+18.799,(IF(D42&gt;400,(D42-400)/30+12.1324,(IF(D42&gt;200,(D42-200)/32+5.8824,D42/34))))))))</f>
        <v/>
      </c>
      <c r="M42" t="str">
        <f t="shared" si="4"/>
        <v/>
      </c>
      <c r="N42" s="5" t="str">
        <f>IF(ISBLANK(D42),"",Open_time Control_1+(INT(L42)&amp;":"&amp;IF(ROUND(((L42-INT(L42))*60),0)&lt;10,0,"")&amp;ROUND(((L42-INT(L42))*60),0)))</f>
        <v/>
      </c>
      <c r="O42" s="5" t="str">
        <f>IF(ISBLANK(D42),"",Open_time Control_1+(INT(M42)&amp;":"&amp;IF(ROUND(((M42-INT(M42))*60),0)&lt;10,0,"")&amp;ROUND(((M42-INT(M42))*60),0)))</f>
        <v/>
      </c>
    </row>
    <row r="43" spans="4:15" ht="17" customHeight="1" x14ac:dyDescent="0.15">
      <c r="D43" s="26"/>
      <c r="E43" s="75"/>
      <c r="F43" s="76"/>
      <c r="G43" s="76"/>
      <c r="H43" s="77"/>
      <c r="I43" s="76"/>
      <c r="J43" s="76"/>
      <c r="K43" s="77"/>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7" customHeight="1" x14ac:dyDescent="0.15">
      <c r="D44" s="26"/>
      <c r="E44" s="75"/>
      <c r="F44" s="76"/>
      <c r="G44" s="76"/>
      <c r="H44" s="77"/>
      <c r="I44" s="76"/>
      <c r="J44" s="76"/>
      <c r="K44" s="77"/>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7" customHeight="1" x14ac:dyDescent="0.15">
      <c r="D45" s="26"/>
      <c r="E45" s="75"/>
      <c r="F45" s="76"/>
      <c r="G45" s="76"/>
      <c r="H45" s="77"/>
      <c r="I45" s="76"/>
      <c r="J45" s="76"/>
      <c r="K45" s="77"/>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7" customHeight="1" x14ac:dyDescent="0.15">
      <c r="D46" s="26"/>
      <c r="E46" s="75"/>
      <c r="F46" s="76"/>
      <c r="G46" s="76"/>
      <c r="H46" s="77"/>
      <c r="I46" s="76"/>
      <c r="J46" s="76"/>
      <c r="K46" s="77"/>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7" customHeight="1" x14ac:dyDescent="0.15">
      <c r="D47" s="26"/>
      <c r="E47" s="75"/>
      <c r="F47" s="76"/>
      <c r="G47" s="76"/>
      <c r="H47" s="77"/>
      <c r="I47" s="76"/>
      <c r="J47" s="76"/>
      <c r="K47" s="77"/>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7" customHeight="1" x14ac:dyDescent="0.15">
      <c r="D48" s="26"/>
      <c r="E48" s="75"/>
      <c r="F48" s="76"/>
      <c r="G48" s="76"/>
      <c r="H48" s="77"/>
      <c r="I48" s="76"/>
      <c r="J48" s="76"/>
      <c r="K48" s="77"/>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7" customHeight="1" x14ac:dyDescent="0.15">
      <c r="D49" s="26"/>
      <c r="E49" s="75"/>
      <c r="F49" s="76"/>
      <c r="G49" s="76"/>
      <c r="H49" s="77"/>
      <c r="I49" s="76"/>
      <c r="J49" s="76"/>
      <c r="K49" s="77"/>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row r="50" spans="4:15" ht="17" customHeight="1" thickBot="1" x14ac:dyDescent="0.2">
      <c r="D50" s="52"/>
      <c r="E50" s="78"/>
      <c r="F50" s="79"/>
      <c r="G50" s="79"/>
      <c r="H50" s="80"/>
      <c r="I50" s="79"/>
      <c r="J50" s="79"/>
      <c r="K50" s="80"/>
      <c r="L50" t="str">
        <f t="shared" si="5"/>
        <v/>
      </c>
      <c r="M50" t="str">
        <f t="shared" si="4"/>
        <v/>
      </c>
      <c r="N50" s="5" t="str">
        <f>IF(ISBLANK(D50),"",Open_time Control_1+(INT(L50)&amp;":"&amp;IF(ROUND(((L50-INT(L50))*60),0)&lt;10,0,"")&amp;ROUND(((L50-INT(L50))*60),0)))</f>
        <v/>
      </c>
      <c r="O50" s="5" t="str">
        <f>IF(ISBLANK(D50),"",Open_time Control_1+(INT(M50)&amp;":"&amp;IF(ROUND(((M50-INT(M50))*60),0)&lt;10,0,"")&amp;ROUND(((M50-INT(M50))*60),0)))</f>
        <v/>
      </c>
    </row>
    <row r="51" spans="4:15" ht="7" customHeight="1" thickBot="1" x14ac:dyDescent="0.25">
      <c r="D51" s="65"/>
      <c r="E51" s="66"/>
      <c r="F51" s="67"/>
      <c r="G51" s="67"/>
      <c r="H51" s="67"/>
      <c r="I51" s="67"/>
      <c r="J51" s="67"/>
      <c r="K51" s="68"/>
      <c r="N51" s="5"/>
      <c r="O51" s="5"/>
    </row>
    <row r="52" spans="4:15" ht="14" thickBot="1" x14ac:dyDescent="0.2">
      <c r="D52" s="111" t="s">
        <v>87</v>
      </c>
      <c r="E52" s="112"/>
      <c r="F52" s="112"/>
      <c r="G52" s="112"/>
      <c r="H52" s="112"/>
      <c r="I52" s="111" t="s">
        <v>88</v>
      </c>
      <c r="J52" s="112"/>
      <c r="K52" s="113"/>
    </row>
    <row r="53" spans="4:15" ht="14" thickBot="1" x14ac:dyDescent="0.2">
      <c r="D53" s="6" t="s">
        <v>24</v>
      </c>
      <c r="E53" s="7" t="s">
        <v>25</v>
      </c>
      <c r="F53" s="63" t="s">
        <v>26</v>
      </c>
      <c r="G53" s="63" t="s">
        <v>27</v>
      </c>
      <c r="H53" s="88" t="s">
        <v>28</v>
      </c>
      <c r="I53" s="7" t="s">
        <v>60</v>
      </c>
      <c r="J53" s="7" t="s">
        <v>61</v>
      </c>
      <c r="K53" s="8" t="s">
        <v>62</v>
      </c>
      <c r="L53" t="s">
        <v>3</v>
      </c>
      <c r="M53" t="s">
        <v>4</v>
      </c>
      <c r="N53" t="s">
        <v>5</v>
      </c>
      <c r="O53" t="s">
        <v>6</v>
      </c>
    </row>
    <row r="54" spans="4:15" ht="17" customHeight="1" x14ac:dyDescent="0.15">
      <c r="D54" s="26"/>
      <c r="E54" s="75"/>
      <c r="F54" s="76"/>
      <c r="G54" s="76"/>
      <c r="H54" s="77"/>
      <c r="I54" s="76"/>
      <c r="J54" s="76"/>
      <c r="K54" s="77"/>
      <c r="L54" t="str">
        <f>IF(ISBLANK(D54),"",IF(D54&gt;1000,(D54-1000)/26+33.0847,(IF(D54&gt;600,(D54-600)/28+18.799,(IF(D54&gt;400,(D54-400)/30+12.1324,(IF(D54&gt;200,(D54-200)/32+5.8824,D54/34))))))))</f>
        <v/>
      </c>
      <c r="M54" t="str">
        <f t="shared" ref="M54:M63" si="6">IF(ISBLANK(D54),"",IF((D54=0),1,IF(D54&gt;=brevet,IF(brevet&gt;1200,(brevet-1200)*75/1000+90,Max_time),IF(D54&gt;1200,(D54-1200)*75/1000+90,IF(D54&gt;1000,(D54-1000)/(1000/75)+75,IF(D54&gt;600,(D54-600)/(400/35)+40,IF(D54&lt;=60,D54/20+1,D54/15)))))))</f>
        <v/>
      </c>
      <c r="N54" s="5" t="str">
        <f>IF(ISBLANK(D54),"",Open_time Control_1+(INT(L54)&amp;":"&amp;IF(ROUND(((L54-INT(L54))*60),0)&lt;10,0,"")&amp;ROUND(((L54-INT(L54))*60),0)))</f>
        <v/>
      </c>
      <c r="O54" s="5" t="str">
        <f>IF(ISBLANK(D54),"",Open_time Control_1+(INT(M54)&amp;":"&amp;IF(ROUND(((M54-INT(M54))*60),0)&lt;10,0,"")&amp;ROUND(((M54-INT(M54))*60),0)))</f>
        <v/>
      </c>
    </row>
    <row r="55" spans="4:15" ht="17" customHeight="1" x14ac:dyDescent="0.15">
      <c r="D55" s="26"/>
      <c r="E55" s="75"/>
      <c r="F55" s="76"/>
      <c r="G55" s="76"/>
      <c r="H55" s="77"/>
      <c r="I55" s="76"/>
      <c r="J55" s="76"/>
      <c r="K55" s="77"/>
      <c r="L55" t="str">
        <f t="shared" ref="L55:L63" si="7">IF(ISBLANK(D55),"",IF(D55&gt;1000,(D55-1000)/26+33.0847,(IF(D55&gt;600,(D55-600)/28+18.799,(IF(D55&gt;400,(D55-400)/30+12.1324,(IF(D55&gt;200,(D55-200)/32+5.8824,D55/34))))))))</f>
        <v/>
      </c>
      <c r="M55" t="str">
        <f t="shared" si="6"/>
        <v/>
      </c>
      <c r="N55" s="5" t="str">
        <f>IF(ISBLANK(D55),"",Open_time Control_1+(INT(L55)&amp;":"&amp;IF(ROUND(((L55-INT(L55))*60),0)&lt;10,0,"")&amp;ROUND(((L55-INT(L55))*60),0)))</f>
        <v/>
      </c>
      <c r="O55" s="5" t="str">
        <f>IF(ISBLANK(D55),"",Open_time Control_1+(INT(M55)&amp;":"&amp;IF(ROUND(((M55-INT(M55))*60),0)&lt;10,0,"")&amp;ROUND(((M55-INT(M55))*60),0)))</f>
        <v/>
      </c>
    </row>
    <row r="56" spans="4:15" ht="17" customHeight="1" x14ac:dyDescent="0.15">
      <c r="D56" s="26"/>
      <c r="E56" s="75"/>
      <c r="F56" s="76"/>
      <c r="G56" s="76"/>
      <c r="H56" s="77"/>
      <c r="I56" s="76"/>
      <c r="J56" s="76"/>
      <c r="K56" s="77"/>
      <c r="L56" t="str">
        <f t="shared" si="7"/>
        <v/>
      </c>
      <c r="M56" t="str">
        <f t="shared" si="6"/>
        <v/>
      </c>
      <c r="N56" s="5" t="str">
        <f>IF(ISBLANK(D56),"",Open_time Control_1+(INT(L56)&amp;":"&amp;IF(ROUND(((L56-INT(L56))*60),0)&lt;10,0,"")&amp;ROUND(((L56-INT(L56))*60),0)))</f>
        <v/>
      </c>
      <c r="O56" s="5" t="str">
        <f>IF(ISBLANK(D56),"",Open_time Control_1+(INT(M56)&amp;":"&amp;IF(ROUND(((M56-INT(M56))*60),0)&lt;10,0,"")&amp;ROUND(((M56-INT(M56))*60),0)))</f>
        <v/>
      </c>
    </row>
    <row r="57" spans="4:15" ht="17" customHeight="1" x14ac:dyDescent="0.15">
      <c r="D57" s="26"/>
      <c r="E57" s="75"/>
      <c r="F57" s="76"/>
      <c r="G57" s="76"/>
      <c r="H57" s="77"/>
      <c r="I57" s="76"/>
      <c r="J57" s="76"/>
      <c r="K57" s="77"/>
      <c r="L57" t="str">
        <f t="shared" si="7"/>
        <v/>
      </c>
      <c r="M57" t="str">
        <f t="shared" si="6"/>
        <v/>
      </c>
      <c r="N57" s="5" t="str">
        <f>IF(ISBLANK(D57),"",Open_time Control_1+(INT(L57)&amp;":"&amp;IF(ROUND(((L57-INT(L57))*60),0)&lt;10,0,"")&amp;ROUND(((L57-INT(L57))*60),0)))</f>
        <v/>
      </c>
      <c r="O57" s="5" t="str">
        <f>IF(ISBLANK(D57),"",Open_time Control_1+(INT(M57)&amp;":"&amp;IF(ROUND(((M57-INT(M57))*60),0)&lt;10,0,"")&amp;ROUND(((M57-INT(M57))*60),0)))</f>
        <v/>
      </c>
    </row>
    <row r="58" spans="4:15" ht="17" customHeight="1" x14ac:dyDescent="0.15">
      <c r="D58" s="26"/>
      <c r="E58" s="75"/>
      <c r="F58" s="76"/>
      <c r="G58" s="76"/>
      <c r="H58" s="77"/>
      <c r="I58" s="76"/>
      <c r="J58" s="76"/>
      <c r="K58" s="77"/>
      <c r="L58" t="str">
        <f t="shared" si="7"/>
        <v/>
      </c>
      <c r="M58" t="str">
        <f t="shared" si="6"/>
        <v/>
      </c>
      <c r="N58" s="5" t="str">
        <f>IF(ISBLANK(D58),"",Open_time Control_1+(INT(L58)&amp;":"&amp;IF(ROUND(((L58-INT(L58))*60),0)&lt;10,0,"")&amp;ROUND(((L58-INT(L58))*60),0)))</f>
        <v/>
      </c>
      <c r="O58" s="5" t="str">
        <f>IF(ISBLANK(D58),"",Open_time Control_1+(INT(M58)&amp;":"&amp;IF(ROUND(((M58-INT(M58))*60),0)&lt;10,0,"")&amp;ROUND(((M58-INT(M58))*60),0)))</f>
        <v/>
      </c>
    </row>
    <row r="59" spans="4:15" ht="17" customHeight="1" x14ac:dyDescent="0.15">
      <c r="D59" s="26"/>
      <c r="E59" s="75"/>
      <c r="F59" s="76"/>
      <c r="G59" s="76"/>
      <c r="H59" s="77"/>
      <c r="I59" s="76"/>
      <c r="J59" s="76"/>
      <c r="K59" s="77"/>
      <c r="L59" t="str">
        <f t="shared" si="7"/>
        <v/>
      </c>
      <c r="M59" t="str">
        <f t="shared" si="6"/>
        <v/>
      </c>
      <c r="N59" s="5" t="str">
        <f>IF(ISBLANK(D59),"",Open_time Control_1+(INT(L59)&amp;":"&amp;IF(ROUND(((L59-INT(L59))*60),0)&lt;10,0,"")&amp;ROUND(((L59-INT(L59))*60),0)))</f>
        <v/>
      </c>
      <c r="O59" s="5" t="str">
        <f>IF(ISBLANK(D59),"",Open_time Control_1+(INT(M59)&amp;":"&amp;IF(ROUND(((M59-INT(M59))*60),0)&lt;10,0,"")&amp;ROUND(((M59-INT(M59))*60),0)))</f>
        <v/>
      </c>
    </row>
    <row r="60" spans="4:15" ht="17" customHeight="1" x14ac:dyDescent="0.15">
      <c r="D60" s="26"/>
      <c r="E60" s="75"/>
      <c r="F60" s="76"/>
      <c r="G60" s="76"/>
      <c r="H60" s="77"/>
      <c r="I60" s="76"/>
      <c r="J60" s="76"/>
      <c r="K60" s="77"/>
      <c r="L60" t="str">
        <f t="shared" si="7"/>
        <v/>
      </c>
      <c r="M60" t="str">
        <f t="shared" si="6"/>
        <v/>
      </c>
      <c r="N60" s="5" t="str">
        <f>IF(ISBLANK(D60),"",Open_time Control_1+(INT(L60)&amp;":"&amp;IF(ROUND(((L60-INT(L60))*60),0)&lt;10,0,"")&amp;ROUND(((L60-INT(L60))*60),0)))</f>
        <v/>
      </c>
      <c r="O60" s="5" t="str">
        <f>IF(ISBLANK(D60),"",Open_time Control_1+(INT(M60)&amp;":"&amp;IF(ROUND(((M60-INT(M60))*60),0)&lt;10,0,"")&amp;ROUND(((M60-INT(M60))*60),0)))</f>
        <v/>
      </c>
    </row>
    <row r="61" spans="4:15" ht="17" customHeight="1" x14ac:dyDescent="0.15">
      <c r="D61" s="26"/>
      <c r="E61" s="75"/>
      <c r="F61" s="76"/>
      <c r="G61" s="76"/>
      <c r="H61" s="77"/>
      <c r="I61" s="76"/>
      <c r="J61" s="76"/>
      <c r="K61" s="77"/>
      <c r="L61" t="str">
        <f t="shared" si="7"/>
        <v/>
      </c>
      <c r="M61" t="str">
        <f t="shared" si="6"/>
        <v/>
      </c>
      <c r="N61" s="5" t="str">
        <f>IF(ISBLANK(D61),"",Open_time Control_1+(INT(L61)&amp;":"&amp;IF(ROUND(((L61-INT(L61))*60),0)&lt;10,0,"")&amp;ROUND(((L61-INT(L61))*60),0)))</f>
        <v/>
      </c>
      <c r="O61" s="5" t="str">
        <f>IF(ISBLANK(D61),"",Open_time Control_1+(INT(M61)&amp;":"&amp;IF(ROUND(((M61-INT(M61))*60),0)&lt;10,0,"")&amp;ROUND(((M61-INT(M61))*60),0)))</f>
        <v/>
      </c>
    </row>
    <row r="62" spans="4:15" ht="17" customHeight="1" x14ac:dyDescent="0.15">
      <c r="D62" s="26"/>
      <c r="E62" s="75"/>
      <c r="F62" s="76"/>
      <c r="G62" s="76"/>
      <c r="H62" s="77"/>
      <c r="I62" s="76"/>
      <c r="J62" s="76"/>
      <c r="K62" s="77"/>
      <c r="L62" t="str">
        <f t="shared" si="7"/>
        <v/>
      </c>
      <c r="M62" t="str">
        <f t="shared" si="6"/>
        <v/>
      </c>
      <c r="N62" s="5" t="str">
        <f>IF(ISBLANK(D62),"",Open_time Control_1+(INT(L62)&amp;":"&amp;IF(ROUND(((L62-INT(L62))*60),0)&lt;10,0,"")&amp;ROUND(((L62-INT(L62))*60),0)))</f>
        <v/>
      </c>
      <c r="O62" s="5" t="str">
        <f>IF(ISBLANK(D62),"",Open_time Control_1+(INT(M62)&amp;":"&amp;IF(ROUND(((M62-INT(M62))*60),0)&lt;10,0,"")&amp;ROUND(((M62-INT(M62))*60),0)))</f>
        <v/>
      </c>
    </row>
    <row r="63" spans="4:15" ht="17" customHeight="1" thickBot="1" x14ac:dyDescent="0.2">
      <c r="D63" s="52"/>
      <c r="E63" s="78"/>
      <c r="F63" s="79"/>
      <c r="G63" s="79"/>
      <c r="H63" s="80"/>
      <c r="I63" s="79"/>
      <c r="J63" s="79"/>
      <c r="K63" s="80"/>
      <c r="L63" t="str">
        <f t="shared" si="7"/>
        <v/>
      </c>
      <c r="M63" t="str">
        <f t="shared" si="6"/>
        <v/>
      </c>
      <c r="N63" s="5" t="str">
        <f>IF(ISBLANK(D63),"",Open_time Control_1+(INT(L63)&amp;":"&amp;IF(ROUND(((L63-INT(L63))*60),0)&lt;10,0,"")&amp;ROUND(((L63-INT(L63))*60),0)))</f>
        <v/>
      </c>
      <c r="O63" s="5" t="str">
        <f>IF(ISBLANK(D63),"",Open_time Control_1+(INT(M63)&amp;":"&amp;IF(ROUND(((M63-INT(M63))*60),0)&lt;10,0,"")&amp;ROUND(((M63-INT(M63))*60),0)))</f>
        <v/>
      </c>
    </row>
  </sheetData>
  <sheetProtection algorithmName="SHA-512" hashValue="o/C6jCv03dUUDJl4Ls5qW/FfPWl8jvHdJmASPX+2uTxWl5KW7TqTdzncigRmEqZpY3+1wXm5RJNonmP85/SKnw==" saltValue="hPMrXOgSoRsiXc+CKQtKqA==" spinCount="100000" sheet="1" objects="1" scenarios="1" formatCells="0" selectLockedCells="1"/>
  <mergeCells count="12">
    <mergeCell ref="D52:H52"/>
    <mergeCell ref="I52:K52"/>
    <mergeCell ref="Q1:Z5"/>
    <mergeCell ref="A1:H1"/>
    <mergeCell ref="B8:H8"/>
    <mergeCell ref="D39:H39"/>
    <mergeCell ref="I39:K39"/>
    <mergeCell ref="J6:K6"/>
    <mergeCell ref="D13:H13"/>
    <mergeCell ref="D26:H26"/>
    <mergeCell ref="I13:K13"/>
    <mergeCell ref="I26:K26"/>
  </mergeCells>
  <phoneticPr fontId="16" type="noConversion"/>
  <pageMargins left="0.75" right="0.75" top="1" bottom="1" header="0.5" footer="0.5"/>
  <pageSetup orientation="portrait" horizontalDpi="4294967292" verticalDpi="4294967292"/>
  <headerFooter>
    <oddHeader>&amp;A</oddHeader>
    <oddFooter>Page &amp;P</oddFooter>
  </headerFooter>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zoomScaleNormal="100" zoomScalePageLayoutView="92" workbookViewId="0">
      <selection activeCell="F10" sqref="F10"/>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80</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f>Control_1 Open_time</f>
        <v>44758.25</v>
      </c>
      <c r="C3" s="30">
        <f>Control_1 Close_time</f>
        <v>44758.291666666664</v>
      </c>
      <c r="D3" s="31"/>
      <c r="E3" s="32" t="str">
        <f>IF(ISBLANK(Control_1 Establishment_1),"",Control_1 Establishment_1)</f>
        <v>BUSINESS</v>
      </c>
      <c r="F3" s="96" t="str">
        <f>IF(ISBLANK('Control Entry'!I15),"",'Control Entry'!I15)</f>
        <v/>
      </c>
      <c r="G3" s="97"/>
      <c r="H3" s="27" t="s">
        <v>29</v>
      </c>
      <c r="K3" s="14"/>
      <c r="O3" s="147" t="s">
        <v>33</v>
      </c>
      <c r="P3" s="147"/>
      <c r="Q3" s="147"/>
      <c r="R3" s="147"/>
      <c r="S3" s="85" t="str">
        <f>IF('Control Entry'!D28=0,"","#1")</f>
        <v>#1</v>
      </c>
      <c r="U3" s="42"/>
    </row>
    <row r="4" spans="1:22" ht="36" customHeight="1" x14ac:dyDescent="0.2">
      <c r="A4" s="38">
        <f>IF(ISBLANK(Distance Control_1),"",Control_1 Distance)</f>
        <v>0</v>
      </c>
      <c r="B4" s="39">
        <f>Control_1 Open_time</f>
        <v>44758.25</v>
      </c>
      <c r="C4" s="39">
        <f>Control_1 Close_time</f>
        <v>44758.291666666664</v>
      </c>
      <c r="D4" s="40" t="str">
        <f>IF(ISBLANK(Locale Control_1),"",Locale Control_1)</f>
        <v>NANAIMO</v>
      </c>
      <c r="E4" s="32" t="str">
        <f>IF(ISBLANK(Control_1 Establishment_2),"",Control_1 Establishment_2)</f>
        <v>Canco</v>
      </c>
      <c r="F4" s="96" t="str">
        <f>IF(ISBLANK('Control Entry'!J15),"",'Control Entry'!J15)</f>
        <v/>
      </c>
      <c r="G4" s="97"/>
      <c r="H4" s="27" t="s">
        <v>29</v>
      </c>
      <c r="K4" s="14"/>
      <c r="M4" s="130" t="str">
        <f>IF(ISBLANK(brevet),"",brevet&amp;" km Randonnée")</f>
        <v>600 km Randonnée</v>
      </c>
      <c r="N4" s="130"/>
      <c r="O4" s="130"/>
      <c r="P4" s="130"/>
      <c r="Q4" s="130"/>
      <c r="R4" s="130"/>
      <c r="S4" s="130"/>
      <c r="T4" s="130"/>
      <c r="U4" s="43"/>
    </row>
    <row r="5" spans="1:22" ht="36" customHeight="1" thickBot="1" x14ac:dyDescent="0.25">
      <c r="A5" s="33"/>
      <c r="B5" s="34">
        <f>Control_1 Open_time</f>
        <v>44758.25</v>
      </c>
      <c r="C5" s="34">
        <f>Control_1 Close_time</f>
        <v>44758.291666666664</v>
      </c>
      <c r="D5" s="35"/>
      <c r="E5" s="36" t="str">
        <f>IF(ISBLANK(Control_1 Establishment_3),"",Control_1 Establishment_3)</f>
        <v>1050 Terminal Ave N</v>
      </c>
      <c r="F5" s="100" t="str">
        <f>IF(ISBLANK('Control Entry'!K15),"",'Control Entry'!K15)</f>
        <v/>
      </c>
      <c r="G5" s="99"/>
      <c r="H5" s="27" t="s">
        <v>29</v>
      </c>
      <c r="K5" s="14"/>
      <c r="M5" s="15"/>
      <c r="N5" s="145" t="s">
        <v>47</v>
      </c>
      <c r="O5" s="145"/>
      <c r="P5" s="61">
        <f>IF(ISBLANK(Brevet_Number),"",Brevet_Number)</f>
        <v>5161</v>
      </c>
      <c r="Q5" s="62"/>
      <c r="R5" s="133">
        <f>IF(ISBLANK('Control Entry'!$B10),"",'Control Entry'!$B10)</f>
        <v>44758</v>
      </c>
      <c r="S5" s="133"/>
      <c r="T5" s="133"/>
      <c r="U5" s="133"/>
      <c r="V5" s="44"/>
    </row>
    <row r="6" spans="1:22" ht="36" customHeight="1" x14ac:dyDescent="0.2">
      <c r="A6" s="29"/>
      <c r="B6" s="30">
        <f>Control_2 Open_time</f>
        <v>44758.311805555553</v>
      </c>
      <c r="C6" s="30">
        <f>Control_2 Close_time</f>
        <v>44758.397222222222</v>
      </c>
      <c r="D6" s="37"/>
      <c r="E6" s="32" t="str">
        <f>IF(ISBLANK(Control_2 Establishment_1),"",Control_2 Establishment_1)</f>
        <v>INFORMATION</v>
      </c>
      <c r="F6" s="96" t="str">
        <f>IF(ISBLANK('Control Entry'!I16),"",'Control Entry'!I16)</f>
        <v>End of parking lot info sign to left of trail</v>
      </c>
      <c r="G6" s="97"/>
      <c r="H6" s="27" t="s">
        <v>29</v>
      </c>
      <c r="K6" s="14"/>
      <c r="L6" s="150" t="str">
        <f>IF(ISBLANK(Brevet_Description),"",Brevet_Description)</f>
        <v>Hats Off East Coaster</v>
      </c>
      <c r="M6" s="150"/>
      <c r="N6" s="150"/>
      <c r="O6" s="150"/>
      <c r="P6" s="150"/>
      <c r="Q6" s="150"/>
      <c r="R6" s="150"/>
      <c r="S6" s="150"/>
      <c r="T6" s="150"/>
      <c r="U6" s="150"/>
    </row>
    <row r="7" spans="1:22" ht="36" customHeight="1" x14ac:dyDescent="0.2">
      <c r="A7" s="38">
        <f>IF(ISBLANK(Distance Control_2),"",Control_2 Distance)</f>
        <v>50.7</v>
      </c>
      <c r="B7" s="39">
        <f>Control_2 Open_time</f>
        <v>44758.311805555553</v>
      </c>
      <c r="C7" s="39">
        <f>Control_2 Close_time</f>
        <v>44758.397222222222</v>
      </c>
      <c r="D7" s="40" t="str">
        <f>IF(ISBLANK(Locale Control_2),"",Locale Control_2)</f>
        <v>ERRINGTON</v>
      </c>
      <c r="E7" s="53" t="str">
        <f>IF(ISBLANK(Control_2 Establishment_2),"",Control_2 Establishment_2)</f>
        <v>Englishman River Falls Provincial Park</v>
      </c>
      <c r="F7" s="98" t="str">
        <f>IF(ISBLANK('Control Entry'!J16),"",'Control Entry'!J16)</f>
        <v>Is there a map of the campgound?</v>
      </c>
      <c r="G7" s="97"/>
      <c r="H7" s="27" t="s">
        <v>29</v>
      </c>
      <c r="J7" s="84"/>
      <c r="L7" s="84"/>
    </row>
    <row r="8" spans="1:22" ht="36" customHeight="1" thickBot="1" x14ac:dyDescent="0.25">
      <c r="A8" s="33"/>
      <c r="B8" s="34">
        <f>Control_2 Open_time</f>
        <v>44758.311805555553</v>
      </c>
      <c r="C8" s="34">
        <f>Control_2 Close_time</f>
        <v>44758.397222222222</v>
      </c>
      <c r="D8" s="35"/>
      <c r="E8" s="83" t="str">
        <f>IF(ISBLANK(Control_2 Establishment_3),"",Control_2 Establishment_3)</f>
        <v>2245 Errington Rd</v>
      </c>
      <c r="F8" s="100" t="str">
        <f>IF(ISBLANK('Control Entry'!K16),"",'Control Entry'!K16)</f>
        <v/>
      </c>
      <c r="G8" s="99"/>
      <c r="H8" s="27" t="s">
        <v>29</v>
      </c>
      <c r="J8" s="15" t="s">
        <v>34</v>
      </c>
      <c r="L8" s="135"/>
      <c r="M8" s="135"/>
      <c r="N8" s="135"/>
      <c r="O8" s="135"/>
      <c r="P8" s="135"/>
      <c r="Q8" s="135"/>
      <c r="R8" s="28"/>
      <c r="S8" s="45" t="s">
        <v>46</v>
      </c>
      <c r="T8" s="142"/>
      <c r="U8" s="142"/>
    </row>
    <row r="9" spans="1:22" ht="36" customHeight="1" thickBot="1" x14ac:dyDescent="0.3">
      <c r="A9" s="29"/>
      <c r="B9" s="30">
        <f>Control_3 Open_time</f>
        <v>44758.419444444444</v>
      </c>
      <c r="C9" s="30">
        <f>Control_3 Close_time</f>
        <v>44758.633333333331</v>
      </c>
      <c r="D9" s="37"/>
      <c r="E9" s="32" t="str">
        <f>IF(ISBLANK(Control_3 Establishment_1),"",Control_3 Establishment_1)</f>
        <v>INFORMATION</v>
      </c>
      <c r="F9" s="96" t="str">
        <f>IF(ISBLANK('Control Entry'!I17),"",'Control Entry'!I17)</f>
        <v>Main sign, bottom notice</v>
      </c>
      <c r="G9" s="97"/>
      <c r="H9" s="27" t="s">
        <v>29</v>
      </c>
      <c r="J9" s="15" t="s">
        <v>35</v>
      </c>
      <c r="K9" s="15"/>
      <c r="L9" s="152" t="s">
        <v>54</v>
      </c>
      <c r="M9" s="152"/>
      <c r="N9" s="152"/>
      <c r="O9" s="152"/>
      <c r="P9" s="152"/>
      <c r="Q9" s="152"/>
      <c r="R9" s="152"/>
      <c r="S9" s="152"/>
      <c r="T9" s="152"/>
      <c r="U9" s="152"/>
    </row>
    <row r="10" spans="1:22" ht="36" customHeight="1" thickBot="1" x14ac:dyDescent="0.3">
      <c r="A10" s="38">
        <f>IF(ISBLANK(Distance Control_3),"",Control_3 Distance)</f>
        <v>138.1</v>
      </c>
      <c r="B10" s="39">
        <f>Control_3 Open_time</f>
        <v>44758.419444444444</v>
      </c>
      <c r="C10" s="39">
        <f>Control_3 Close_time</f>
        <v>44758.633333333331</v>
      </c>
      <c r="D10" s="40" t="str">
        <f>IF(ISBLANK(Locale Control_3),"",Locale Control_3)</f>
        <v>CUMBERLAND</v>
      </c>
      <c r="E10" s="32" t="str">
        <f>IF(ISBLANK(Control_3 Establishment_2),"",Control_3 Establishment_2)</f>
        <v>Cumberland Lake Park Gate</v>
      </c>
      <c r="F10" s="98" t="str">
        <f>IF(ISBLANK('Control Entry'!J17),"",'Control Entry'!J17)</f>
        <v>CLWS is the park _______ ?</v>
      </c>
      <c r="G10" s="97"/>
      <c r="H10" s="27" t="s">
        <v>29</v>
      </c>
      <c r="J10" s="15"/>
      <c r="K10" s="15"/>
      <c r="L10" s="144"/>
      <c r="M10" s="144"/>
      <c r="N10" s="144"/>
      <c r="O10" s="144"/>
      <c r="P10" s="144"/>
      <c r="Q10" s="144"/>
      <c r="R10" s="144"/>
      <c r="S10" s="144"/>
      <c r="T10" s="144"/>
      <c r="U10" s="144"/>
    </row>
    <row r="11" spans="1:22" ht="36" customHeight="1" thickBot="1" x14ac:dyDescent="0.3">
      <c r="A11" s="33"/>
      <c r="B11" s="34">
        <f>Control_3 Open_time</f>
        <v>44758.419444444444</v>
      </c>
      <c r="C11" s="34">
        <f>Control_3 Close_time</f>
        <v>44758.633333333331</v>
      </c>
      <c r="D11" s="35"/>
      <c r="E11" s="36" t="str">
        <f>IF(ISBLANK(Control_3 Establishment_3),"",Control_3 Establishment_3)</f>
        <v>1100 Comox Lake Rd</v>
      </c>
      <c r="F11" s="100" t="str">
        <f>IF(ISBLANK('Control Entry'!K17),"",'Control Entry'!K17)</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f>Control_4 Open_time</f>
        <v>44758.5</v>
      </c>
      <c r="C12" s="30">
        <f>Control_4 Close_time</f>
        <v>44758.815972222219</v>
      </c>
      <c r="D12" s="37"/>
      <c r="E12" s="32" t="str">
        <f>IF(ISBLANK(Control_4 Establishment_1),"",Control_4 Establishment_1)</f>
        <v>BUSINESS</v>
      </c>
      <c r="F12" s="96" t="str">
        <f>IF(ISBLANK('Control Entry'!I18),"",'Control Entry'!I18)</f>
        <v/>
      </c>
      <c r="G12" s="97"/>
      <c r="H12" s="27" t="s">
        <v>29</v>
      </c>
      <c r="J12" s="15" t="s">
        <v>38</v>
      </c>
      <c r="K12" s="15"/>
      <c r="L12" s="144"/>
      <c r="M12" s="144"/>
      <c r="N12" s="144"/>
      <c r="O12" s="18"/>
      <c r="P12" s="18" t="s">
        <v>39</v>
      </c>
      <c r="Q12" s="18"/>
      <c r="R12" s="18"/>
      <c r="S12" s="131"/>
      <c r="T12" s="131"/>
      <c r="U12" s="131"/>
    </row>
    <row r="13" spans="1:22" ht="36" customHeight="1" thickBot="1" x14ac:dyDescent="0.3">
      <c r="A13" s="38">
        <f>IF(ISBLANK(Distance Control_4),"",Control_4 Distance)</f>
        <v>203.7</v>
      </c>
      <c r="B13" s="39">
        <f>Control_4 Open_time</f>
        <v>44758.5</v>
      </c>
      <c r="C13" s="39">
        <f>Control_4 Close_time</f>
        <v>44758.815972222219</v>
      </c>
      <c r="D13" s="40" t="str">
        <f>IF(ISBLANK(Locale Control_4),"",Locale Control_4)</f>
        <v>CAMPBELL RIVER</v>
      </c>
      <c r="E13" s="32" t="str">
        <f>IF(ISBLANK(Control_4 Establishment_2),"",Control_4 Establishment_2)</f>
        <v>Duncan Bay General Store</v>
      </c>
      <c r="F13" s="96" t="str">
        <f>IF(ISBLANK('Control Entry'!J18),"",'Control Entry'!J18)</f>
        <v/>
      </c>
      <c r="G13" s="97"/>
      <c r="H13" s="27" t="s">
        <v>29</v>
      </c>
      <c r="J13" s="15" t="s">
        <v>40</v>
      </c>
      <c r="L13" s="155"/>
      <c r="M13" s="155"/>
      <c r="N13" s="155"/>
      <c r="O13" s="19"/>
      <c r="P13" s="18" t="s">
        <v>41</v>
      </c>
      <c r="Q13" s="18"/>
      <c r="R13" s="132"/>
      <c r="S13" s="132"/>
      <c r="T13" s="132"/>
      <c r="U13" s="132"/>
    </row>
    <row r="14" spans="1:22" ht="36" customHeight="1" thickBot="1" x14ac:dyDescent="0.25">
      <c r="A14" s="33"/>
      <c r="B14" s="34">
        <f>Control_4 Open_time</f>
        <v>44758.5</v>
      </c>
      <c r="C14" s="34">
        <f>Control_4 Close_time</f>
        <v>44758.815972222219</v>
      </c>
      <c r="D14" s="35"/>
      <c r="E14" s="36" t="str">
        <f>IF(ISBLANK(Control_4 Establishment_3),"",Control_4 Establishment_3)</f>
        <v>3930 N. Island Hwy</v>
      </c>
      <c r="F14" s="100" t="str">
        <f>IF(ISBLANK('Control Entry'!K18),"",'Control Entry'!K18)</f>
        <v/>
      </c>
      <c r="G14" s="99"/>
      <c r="H14" s="27" t="s">
        <v>29</v>
      </c>
    </row>
    <row r="15" spans="1:22" ht="36" customHeight="1" x14ac:dyDescent="0.2">
      <c r="A15" s="29"/>
      <c r="B15" s="30">
        <f>Control_5 Open_time</f>
        <v>44758.570833333331</v>
      </c>
      <c r="C15" s="30">
        <f>Control_5 Close_time</f>
        <v>44758.967361111114</v>
      </c>
      <c r="D15" s="37"/>
      <c r="E15" s="32" t="str">
        <f>IF(ISBLANK(Control_5 Establishment_1),"",Control_5 Establishment_1)</f>
        <v>BUSINESS</v>
      </c>
      <c r="F15" s="96" t="str">
        <f>IF(ISBLANK('Control Entry'!I19),"",'Control Entry'!I19)</f>
        <v/>
      </c>
      <c r="G15" s="97"/>
      <c r="H15" s="27" t="s">
        <v>29</v>
      </c>
      <c r="J15" s="15"/>
      <c r="L15" s="149" t="s">
        <v>58</v>
      </c>
      <c r="M15" s="149"/>
      <c r="N15" s="149"/>
      <c r="O15" s="149"/>
      <c r="P15" s="149"/>
      <c r="Q15" s="149"/>
      <c r="R15" s="149"/>
      <c r="S15" s="149"/>
      <c r="T15" s="149"/>
      <c r="U15" s="149"/>
    </row>
    <row r="16" spans="1:22" ht="36" customHeight="1" thickBot="1" x14ac:dyDescent="0.25">
      <c r="A16" s="38">
        <f>IF(ISBLANK(Distance Control_5),"",Control_5 Distance)</f>
        <v>258.2</v>
      </c>
      <c r="B16" s="39">
        <f>Control_5 Open_time</f>
        <v>44758.570833333331</v>
      </c>
      <c r="C16" s="39">
        <f>Control_5 Close_time</f>
        <v>44758.967361111114</v>
      </c>
      <c r="D16" s="40" t="str">
        <f>IF(ISBLANK(Locale Control_5),"",Locale Control_5)</f>
        <v>COURTENAY</v>
      </c>
      <c r="E16" s="32" t="str">
        <f>IF(ISBLANK(Control_5 Establishment_2),"",Control_5 Establishment_2)</f>
        <v>Chevron</v>
      </c>
      <c r="F16" s="96" t="str">
        <f>IF(ISBLANK('Control Entry'!J19),"",'Control Entry'!J19)</f>
        <v/>
      </c>
      <c r="G16" s="97"/>
      <c r="H16" s="27" t="s">
        <v>29</v>
      </c>
      <c r="L16" s="153"/>
      <c r="M16" s="153"/>
      <c r="N16" s="153"/>
      <c r="O16" s="153"/>
      <c r="P16" s="153"/>
      <c r="Q16" s="153"/>
      <c r="R16" s="153"/>
      <c r="S16" s="153"/>
      <c r="T16" s="153"/>
      <c r="U16" s="153"/>
    </row>
    <row r="17" spans="1:22" ht="36" customHeight="1" thickBot="1" x14ac:dyDescent="0.25">
      <c r="A17" s="33"/>
      <c r="B17" s="34">
        <f>Control_5 Open_time</f>
        <v>44758.570833333331</v>
      </c>
      <c r="C17" s="34">
        <f>Control_5 Close_time</f>
        <v>44758.967361111114</v>
      </c>
      <c r="D17" s="35"/>
      <c r="E17" s="36" t="str">
        <f>IF(ISBLANK(Control_5 Establishment_3),"",Control_5 Establishment_3)</f>
        <v>600 Ryan Rd</v>
      </c>
      <c r="F17" s="100" t="str">
        <f>IF(ISBLANK('Control Entry'!K19),"",'Control Entry'!K19)</f>
        <v/>
      </c>
      <c r="G17" s="99"/>
      <c r="H17" s="27" t="s">
        <v>29</v>
      </c>
    </row>
    <row r="18" spans="1:22" ht="36" customHeight="1" x14ac:dyDescent="0.2">
      <c r="A18" s="29"/>
      <c r="B18" s="30">
        <f>Control_6 Open_time</f>
        <v>44758.713194444441</v>
      </c>
      <c r="C18" s="30">
        <f>Control_6 Close_time</f>
        <v>44759.270833333336</v>
      </c>
      <c r="D18" s="37"/>
      <c r="E18" s="32" t="str">
        <f>IF(ISBLANK(Control_6 Establishment_1),"",Control_6 Establishment_1)</f>
        <v>BUSINESS</v>
      </c>
      <c r="F18" s="96" t="str">
        <f>IF(ISBLANK('Control Entry'!I20),"",'Control Entry'!I20)</f>
        <v xml:space="preserve">Or self sign </v>
      </c>
      <c r="G18" s="97"/>
      <c r="H18" s="27" t="s">
        <v>29</v>
      </c>
    </row>
    <row r="19" spans="1:22" ht="36" customHeight="1" x14ac:dyDescent="0.2">
      <c r="A19" s="38">
        <f>IF(ISBLANK(Distance Control_6),"",Control_6 Distance)</f>
        <v>367.6</v>
      </c>
      <c r="B19" s="39">
        <f>Control_6 Open_time</f>
        <v>44758.713194444441</v>
      </c>
      <c r="C19" s="39">
        <f>Control_6 Close_time</f>
        <v>44759.270833333336</v>
      </c>
      <c r="D19" s="40" t="str">
        <f>IF(ISBLANK(Locale Control_6),"",Locale Control_6)</f>
        <v>NANAIMO</v>
      </c>
      <c r="E19" s="32" t="str">
        <f>IF(ISBLANK(Control_6 Establishment_2),"",Control_6 Establishment_2)</f>
        <v>Bluebird Motel</v>
      </c>
      <c r="F19" s="96" t="str">
        <f>IF(ISBLANK('Control Entry'!J20),"",'Control Entry'!J20)</f>
        <v/>
      </c>
      <c r="G19" s="97"/>
      <c r="H19" s="27" t="s">
        <v>29</v>
      </c>
    </row>
    <row r="20" spans="1:22" ht="36" customHeight="1" thickBot="1" x14ac:dyDescent="0.25">
      <c r="A20" s="33"/>
      <c r="B20" s="34">
        <f>Control_6 Open_time</f>
        <v>44758.713194444441</v>
      </c>
      <c r="C20" s="34">
        <f>Control_6 Close_time</f>
        <v>44759.270833333336</v>
      </c>
      <c r="D20" s="35"/>
      <c r="E20" s="36" t="str">
        <f>IF(ISBLANK(Control_6 Establishment_3),"",Control_6 Establishment_3)</f>
        <v>995 Terminal Ave N</v>
      </c>
      <c r="F20" s="100" t="str">
        <f>IF(ISBLANK('Control Entry'!K20),"",'Control Entry'!K20)</f>
        <v/>
      </c>
      <c r="G20" s="99"/>
      <c r="H20" s="27" t="s">
        <v>29</v>
      </c>
      <c r="J20" s="59" t="s">
        <v>44</v>
      </c>
      <c r="K20" s="59"/>
      <c r="L20" s="143">
        <f>IF(ISBLANK('Control Entry'!B12),"",'Control Entry'!B12)</f>
        <v>44758</v>
      </c>
      <c r="M20" s="143"/>
      <c r="N20" s="143"/>
      <c r="P20" s="18" t="s">
        <v>0</v>
      </c>
      <c r="Q20" s="18"/>
      <c r="S20" s="148">
        <f>IF(ISBLANK('Control Entry'!B13),"",'Control Entry'!B13)</f>
        <v>0.25</v>
      </c>
      <c r="T20" s="148"/>
      <c r="U20" s="148"/>
    </row>
    <row r="21" spans="1:22" ht="36" customHeight="1" x14ac:dyDescent="0.2">
      <c r="A21" s="29"/>
      <c r="B21" s="30" t="str">
        <f>Control_7 Open_time</f>
        <v/>
      </c>
      <c r="C21" s="30" t="str">
        <f>Control_7 Close_time</f>
        <v/>
      </c>
      <c r="D21" s="37"/>
      <c r="E21" s="32" t="str">
        <f>IF(ISBLANK(Control_7 Establishment_1),"",Control_7 Establishment_1)</f>
        <v/>
      </c>
      <c r="F21" s="96" t="str">
        <f>IF(ISBLANK('Control Entry'!I21),"",'Control Entry'!I21)</f>
        <v/>
      </c>
      <c r="G21" s="97"/>
      <c r="H21" s="27" t="s">
        <v>29</v>
      </c>
      <c r="J21" s="59"/>
      <c r="K21" s="59"/>
      <c r="L21" s="57"/>
      <c r="M21" s="57"/>
      <c r="N21" s="57"/>
      <c r="P21" s="18"/>
      <c r="Q21" s="18"/>
      <c r="R21" s="22"/>
      <c r="S21" s="60"/>
      <c r="T21" s="60"/>
      <c r="U21" s="60"/>
      <c r="V21" s="28"/>
    </row>
    <row r="22" spans="1:22" ht="36" customHeight="1" thickBot="1" x14ac:dyDescent="0.25">
      <c r="A22" s="38" t="str">
        <f>IF(ISBLANK(Distance Control_7),"",Control_7 Distance)</f>
        <v/>
      </c>
      <c r="B22" s="39" t="str">
        <f>Control_7 Open_time</f>
        <v/>
      </c>
      <c r="C22" s="39" t="str">
        <f>Control_7 Close_time</f>
        <v/>
      </c>
      <c r="D22" s="40" t="str">
        <f>IF(ISBLANK(Locale Control_7),"",Locale Control_7)</f>
        <v/>
      </c>
      <c r="E22" s="32" t="str">
        <f>IF(ISBLANK(Control_7 Establishment_2),"",Control_7 Establishment_2)</f>
        <v/>
      </c>
      <c r="F22" s="96" t="str">
        <f>IF(ISBLANK('Control Entry'!J21),"",'Control Entry'!J21)</f>
        <v/>
      </c>
      <c r="G22" s="97"/>
      <c r="H22" s="27" t="s">
        <v>29</v>
      </c>
      <c r="J22" s="58" t="s">
        <v>45</v>
      </c>
      <c r="K22" s="58"/>
      <c r="L22" s="154"/>
      <c r="M22" s="154"/>
      <c r="N22" s="154"/>
      <c r="O22" s="19"/>
      <c r="P22" s="18" t="s">
        <v>1</v>
      </c>
      <c r="Q22" s="18"/>
      <c r="R22" s="19"/>
      <c r="S22" s="151"/>
      <c r="T22" s="151"/>
      <c r="U22" s="151"/>
    </row>
    <row r="23" spans="1:22" ht="36" customHeight="1" thickBot="1" x14ac:dyDescent="0.25">
      <c r="A23" s="33"/>
      <c r="B23" s="34" t="str">
        <f>Control_7 Open_time</f>
        <v/>
      </c>
      <c r="C23" s="34" t="str">
        <f>Control_7 Close_time</f>
        <v/>
      </c>
      <c r="D23" s="35"/>
      <c r="E23" s="36" t="str">
        <f>IF(ISBLANK(Control_7 Establishment_3),"",Control_7 Establishment_3)</f>
        <v/>
      </c>
      <c r="F23" s="100" t="str">
        <f>IF(ISBLANK('Control Entry'!K21),"",'Control Entry'!K21)</f>
        <v/>
      </c>
      <c r="G23" s="99"/>
      <c r="H23" s="27" t="s">
        <v>29</v>
      </c>
      <c r="J23" s="58"/>
      <c r="K23" s="58"/>
      <c r="L23" s="57"/>
      <c r="M23" s="57"/>
      <c r="N23" s="57"/>
      <c r="O23" s="22"/>
      <c r="P23" s="56"/>
      <c r="Q23" s="56"/>
      <c r="R23" s="22"/>
      <c r="S23" s="22"/>
      <c r="T23" s="22"/>
      <c r="U23" s="22"/>
      <c r="V23" s="28"/>
    </row>
    <row r="24" spans="1:22" ht="36" customHeight="1" thickBot="1" x14ac:dyDescent="0.25">
      <c r="A24" s="29"/>
      <c r="B24" s="30" t="str">
        <f>Control_8 Open_time</f>
        <v/>
      </c>
      <c r="C24" s="30" t="str">
        <f>Control_8 Close_time</f>
        <v/>
      </c>
      <c r="D24" s="37"/>
      <c r="E24" s="32" t="str">
        <f>IF(ISBLANK(Control_8 Establishment_1),"",Control_8 Establishment_1)</f>
        <v/>
      </c>
      <c r="F24" s="96" t="str">
        <f>IF(ISBLANK('Control Entry'!I22),"",'Control Entry'!I22)</f>
        <v/>
      </c>
      <c r="G24" s="97"/>
      <c r="H24" s="27" t="s">
        <v>29</v>
      </c>
      <c r="J24" s="151"/>
      <c r="K24" s="151"/>
      <c r="L24" s="151"/>
      <c r="M24" s="151"/>
      <c r="N24" s="151"/>
      <c r="O24" s="19"/>
      <c r="P24" s="18" t="s">
        <v>2</v>
      </c>
      <c r="Q24" s="18"/>
      <c r="R24" s="19"/>
      <c r="S24" s="151"/>
      <c r="T24" s="151"/>
      <c r="U24" s="151"/>
    </row>
    <row r="25" spans="1:22" ht="36" customHeight="1" x14ac:dyDescent="0.2">
      <c r="A25" s="38" t="str">
        <f>IF(ISBLANK(Distance Control_8),"",Control_8 Distance)</f>
        <v/>
      </c>
      <c r="B25" s="39" t="str">
        <f>Control_8 Open_time</f>
        <v/>
      </c>
      <c r="C25" s="39" t="str">
        <f>Control_8 Close_time</f>
        <v/>
      </c>
      <c r="D25" s="40" t="str">
        <f>IF(ISBLANK(Locale Control_8),"",Locale Control_8)</f>
        <v/>
      </c>
      <c r="E25" s="32" t="str">
        <f>IF(ISBLANK(Control_8 Establishment_2),"",Control_8 Establishment_2)</f>
        <v/>
      </c>
      <c r="F25" s="96" t="str">
        <f>IF(ISBLANK('Control Entry'!J22),"",'Control Entry'!J22)</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t="str">
        <f>Control_8 Open_time</f>
        <v/>
      </c>
      <c r="C26" s="34" t="str">
        <f>Control_8 Close_time</f>
        <v/>
      </c>
      <c r="D26" s="35"/>
      <c r="E26" s="36" t="str">
        <f>IF(ISBLANK(Control_8 Establishment_3),"",Control_8 Establishment_3)</f>
        <v/>
      </c>
      <c r="F26" s="100" t="str">
        <f>IF(ISBLANK('Control Entry'!K22),"",'Control Entry'!K22)</f>
        <v/>
      </c>
      <c r="G26" s="99"/>
      <c r="H26" s="27" t="s">
        <v>29</v>
      </c>
    </row>
    <row r="27" spans="1:22" ht="36" customHeight="1" x14ac:dyDescent="0.2">
      <c r="A27" s="29"/>
      <c r="B27" s="30" t="str">
        <f>Control_9 Open_time</f>
        <v/>
      </c>
      <c r="C27" s="30" t="str">
        <f>Control_9 Close_time</f>
        <v/>
      </c>
      <c r="D27" s="37"/>
      <c r="E27" s="32" t="str">
        <f>IF(ISBLANK(Control_9 Establishment_1),"",Control_9 Establishment_1)</f>
        <v/>
      </c>
      <c r="F27" s="96" t="str">
        <f>IF(ISBLANK('Control Entry'!I23),"",'Control Entry'!I23)</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IF(ISBLANK(Distance Control_9),"",Control_9 Distance)</f>
        <v/>
      </c>
      <c r="B28" s="39" t="str">
        <f>Control_9 Open_time</f>
        <v/>
      </c>
      <c r="C28" s="39" t="str">
        <f>Control_9 Close_time</f>
        <v/>
      </c>
      <c r="D28" s="40" t="str">
        <f>IF(ISBLANK(Locale Control_9),"",Locale Control_9)</f>
        <v/>
      </c>
      <c r="E28" s="32" t="str">
        <f>IF(ISBLANK(Control_9 Establishment_2),"",Control_9 Establishment_2)</f>
        <v/>
      </c>
      <c r="F28" s="96" t="str">
        <f>IF(ISBLANK('Control Entry'!J23),"",'Control Entry'!J23)</f>
        <v/>
      </c>
      <c r="G28" s="97"/>
      <c r="H28" s="27" t="s">
        <v>29</v>
      </c>
    </row>
    <row r="29" spans="1:22" ht="36" customHeight="1" thickBot="1" x14ac:dyDescent="0.25">
      <c r="A29" s="33"/>
      <c r="B29" s="34" t="str">
        <f>Control_9 Open_time</f>
        <v/>
      </c>
      <c r="C29" s="34" t="str">
        <f>Control_9 Close_time</f>
        <v/>
      </c>
      <c r="D29" s="35"/>
      <c r="E29" s="36" t="str">
        <f>IF(ISBLANK(Control_9 Establishment_3),"",Control_9 Establishment_3)</f>
        <v/>
      </c>
      <c r="F29" s="100" t="str">
        <f>IF(ISBLANK('Control Entry'!K23),"",'Control Entry'!K23)</f>
        <v/>
      </c>
      <c r="G29" s="99"/>
      <c r="H29" s="27" t="s">
        <v>29</v>
      </c>
      <c r="M29" s="122" t="s">
        <v>42</v>
      </c>
      <c r="N29" s="122"/>
      <c r="O29" s="122"/>
      <c r="P29" s="122"/>
      <c r="Q29" s="122"/>
      <c r="R29" s="122"/>
      <c r="S29" s="122"/>
      <c r="T29" s="122"/>
      <c r="U29" s="54"/>
    </row>
    <row r="30" spans="1:22" ht="36" customHeight="1" x14ac:dyDescent="0.2">
      <c r="A30" s="29"/>
      <c r="B30" s="30" t="str">
        <f>Control_10 Open_time</f>
        <v/>
      </c>
      <c r="C30" s="30" t="str">
        <f>Control_10 Close_time</f>
        <v/>
      </c>
      <c r="D30" s="37"/>
      <c r="E30" s="32" t="str">
        <f>IF(ISBLANK(Control_10 Establishment_1),"",Control_10 Establishment_1)</f>
        <v/>
      </c>
      <c r="F30" s="96" t="str">
        <f>IF(ISBLANK('Control Entry'!I24),"",'Control Entry'!I24)</f>
        <v/>
      </c>
      <c r="G30" s="97"/>
      <c r="H30" s="27" t="s">
        <v>29</v>
      </c>
      <c r="M30" s="16"/>
      <c r="N30" s="20"/>
      <c r="O30" s="20"/>
      <c r="P30" s="21"/>
      <c r="Q30" s="102"/>
      <c r="R30" s="20"/>
      <c r="S30" s="20"/>
      <c r="T30" s="21"/>
      <c r="U30" s="22"/>
    </row>
    <row r="31" spans="1:22" ht="36" customHeight="1" x14ac:dyDescent="0.2">
      <c r="A31" s="38" t="str">
        <f>IF(ISBLANK(Distance Control_10),"",Control_10 Distance)</f>
        <v/>
      </c>
      <c r="B31" s="39" t="str">
        <f>Control_10 Open_time</f>
        <v/>
      </c>
      <c r="C31" s="39" t="str">
        <f>Control_10 Close_time</f>
        <v/>
      </c>
      <c r="D31" s="40" t="str">
        <f>IF(ISBLANK(Locale Control_10),"",Locale Control_10)</f>
        <v/>
      </c>
      <c r="E31" s="32" t="str">
        <f>IF(ISBLANK(Control_10 Establishment_2),"",Control_10 Establishment_2)</f>
        <v/>
      </c>
      <c r="F31" s="96" t="str">
        <f>IF(ISBLANK('Control Entry'!J24),"",'Control Entry'!J24)</f>
        <v/>
      </c>
      <c r="G31" s="97"/>
      <c r="H31" s="27" t="s">
        <v>29</v>
      </c>
      <c r="M31" s="17"/>
      <c r="N31" s="22"/>
      <c r="O31" s="22"/>
      <c r="P31" s="23"/>
      <c r="Q31" s="103"/>
      <c r="R31" s="22"/>
      <c r="S31" s="22"/>
      <c r="T31" s="23"/>
      <c r="U31" s="22"/>
    </row>
    <row r="32" spans="1:22" ht="36" customHeight="1" thickBot="1" x14ac:dyDescent="0.25">
      <c r="A32" s="33"/>
      <c r="B32" s="34" t="str">
        <f>Control_10 Open_time</f>
        <v/>
      </c>
      <c r="C32" s="34" t="str">
        <f>Control_10 Close_time</f>
        <v/>
      </c>
      <c r="D32" s="35"/>
      <c r="E32" s="36" t="str">
        <f>IF(ISBLANK(Control_10 Establishment_3),"",Control_10 Establishment_3)</f>
        <v/>
      </c>
      <c r="F32" s="100" t="str">
        <f>IF(ISBLANK('Control Entry'!K24),"",'Control Entry'!K24)</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44745</v>
      </c>
      <c r="R33" s="127"/>
      <c r="S33" s="127"/>
      <c r="T33" s="127"/>
      <c r="U33" s="92"/>
      <c r="V33" s="49"/>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iDQb38Z5WZp87lXMQAT4xTXeXKPICpVt+wSBVo/dofQxJAYMrgvpXFZDzKlfo5JR1/olCdCIytlMSqpHKz79Wg==" saltValue="3TGUHDVIfOEKM0XlLUm4zg==" spinCount="100000" sheet="1" objects="1" scenarios="1" formatCells="0" selectLockedCells="1"/>
  <mergeCells count="41">
    <mergeCell ref="N5:O5"/>
    <mergeCell ref="K27:L27"/>
    <mergeCell ref="J25:N25"/>
    <mergeCell ref="O3:R3"/>
    <mergeCell ref="S20:U20"/>
    <mergeCell ref="L15:U15"/>
    <mergeCell ref="L6:U6"/>
    <mergeCell ref="S24:U24"/>
    <mergeCell ref="J24:N24"/>
    <mergeCell ref="L9:U9"/>
    <mergeCell ref="L10:U10"/>
    <mergeCell ref="L16:U16"/>
    <mergeCell ref="L22:N22"/>
    <mergeCell ref="S22:U22"/>
    <mergeCell ref="L13:N13"/>
    <mergeCell ref="S11:U11"/>
    <mergeCell ref="A1:G1"/>
    <mergeCell ref="A33:G33"/>
    <mergeCell ref="M4:T4"/>
    <mergeCell ref="P25:Q25"/>
    <mergeCell ref="S25:T25"/>
    <mergeCell ref="S12:U12"/>
    <mergeCell ref="R13:U13"/>
    <mergeCell ref="R5:U5"/>
    <mergeCell ref="K2:U2"/>
    <mergeCell ref="L8:Q8"/>
    <mergeCell ref="M32:P32"/>
    <mergeCell ref="Q32:T32"/>
    <mergeCell ref="T8:U8"/>
    <mergeCell ref="L20:N20"/>
    <mergeCell ref="L11:N11"/>
    <mergeCell ref="L12:N12"/>
    <mergeCell ref="U25:V25"/>
    <mergeCell ref="N35:U35"/>
    <mergeCell ref="M29:T29"/>
    <mergeCell ref="N27:O27"/>
    <mergeCell ref="P27:Q27"/>
    <mergeCell ref="S27:T27"/>
    <mergeCell ref="U27:V27"/>
    <mergeCell ref="M33:P33"/>
    <mergeCell ref="Q33:T33"/>
  </mergeCells>
  <phoneticPr fontId="16" type="noConversion"/>
  <pageMargins left="0.2" right="0.2" top="0.2" bottom="0.2" header="0.51" footer="0.51"/>
  <pageSetup scale="45" orientation="landscape" horizontalDpi="4294967292" verticalDpi="4294967292"/>
  <ignoredErrors>
    <ignoredError sqref="L20" unlockedFormula="1"/>
  </ignoredErrors>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zoomScale="92" zoomScaleNormal="92" zoomScalePageLayoutView="92" workbookViewId="0">
      <selection activeCell="F10" sqref="F10"/>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74</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f>'Control Entry'!N28</f>
        <v>44758.746527777781</v>
      </c>
      <c r="C3" s="30">
        <f>'Control Entry'!O28</f>
        <v>44759.341666666667</v>
      </c>
      <c r="D3" s="31"/>
      <c r="E3" s="32" t="str">
        <f>IF(ISBLANK('Control Entry'!F28),"",'Control Entry'!F28)</f>
        <v>INFORMATION</v>
      </c>
      <c r="F3" s="96" t="str">
        <f>IF(ISBLANK('Control Entry'!I28),"",'Control Entry'!I28)</f>
        <v>Structure behind info sign</v>
      </c>
      <c r="G3" s="97"/>
      <c r="H3" s="27" t="s">
        <v>29</v>
      </c>
      <c r="K3" s="14"/>
      <c r="O3" s="147" t="s">
        <v>73</v>
      </c>
      <c r="P3" s="147"/>
      <c r="Q3" s="147"/>
      <c r="R3" s="147"/>
      <c r="S3" s="85" t="str">
        <f>IF('Control Entry'!D28=0,"","#2")</f>
        <v>#2</v>
      </c>
      <c r="U3" s="42"/>
    </row>
    <row r="4" spans="1:22" ht="36" customHeight="1" x14ac:dyDescent="0.2">
      <c r="A4" s="38">
        <f>IF(ISBLANK('Control Entry'!D28),"",'Control Entry'!D28)</f>
        <v>392.9</v>
      </c>
      <c r="B4" s="39">
        <f>'Control Entry'!N28</f>
        <v>44758.746527777781</v>
      </c>
      <c r="C4" s="39">
        <f>'Control Entry'!O28</f>
        <v>44759.341666666667</v>
      </c>
      <c r="D4" s="40" t="str">
        <f>IF(ISBLANK('Control Entry'!E28),"",'Control Entry'!E28)</f>
        <v>YELLOW POINT</v>
      </c>
      <c r="E4" s="32" t="str">
        <f>IF(ISBLANK('Control Entry'!G28),"",'Control Entry'!G28)</f>
        <v>Yellow Point Park</v>
      </c>
      <c r="F4" s="96" t="str">
        <f>IF(ISBLANK('Control Entry'!J28),"",'Control Entry'!J28)</f>
        <v>How many toilets?</v>
      </c>
      <c r="G4" s="97"/>
      <c r="H4" s="27" t="s">
        <v>29</v>
      </c>
      <c r="K4" s="14"/>
      <c r="M4" s="130" t="str">
        <f>IF(ISBLANK(brevet),"",brevet&amp;" km Randonnée")</f>
        <v>600 km Randonnée</v>
      </c>
      <c r="N4" s="130"/>
      <c r="O4" s="130"/>
      <c r="P4" s="130"/>
      <c r="Q4" s="130"/>
      <c r="R4" s="130"/>
      <c r="S4" s="130"/>
      <c r="T4" s="130"/>
      <c r="U4" s="43"/>
    </row>
    <row r="5" spans="1:22" ht="36" customHeight="1" thickBot="1" x14ac:dyDescent="0.25">
      <c r="A5" s="33"/>
      <c r="B5" s="34">
        <f>'Control Entry'!N28</f>
        <v>44758.746527777781</v>
      </c>
      <c r="C5" s="34">
        <f>'Control Entry'!O28</f>
        <v>44759.341666666667</v>
      </c>
      <c r="D5" s="35"/>
      <c r="E5" s="36" t="str">
        <f>IF(ISBLANK('Control Entry'!H28),"",'Control Entry'!H28)</f>
        <v>4151 Yellow Pt Rd</v>
      </c>
      <c r="F5" s="100" t="str">
        <f>IF(ISBLANK('Control Entry'!K28),"",'Control Entry'!K28)</f>
        <v/>
      </c>
      <c r="G5" s="99"/>
      <c r="H5" s="27" t="s">
        <v>29</v>
      </c>
      <c r="K5" s="14"/>
      <c r="M5" s="15"/>
      <c r="N5" s="145" t="s">
        <v>47</v>
      </c>
      <c r="O5" s="145"/>
      <c r="P5" s="61">
        <f>IF(ISBLANK(Brevet_Number),"",Brevet_Number)</f>
        <v>5161</v>
      </c>
      <c r="Q5" s="62"/>
      <c r="R5" s="133">
        <f>IF(ISBLANK('Control Entry'!$B10),"",'Control Entry'!$B10)</f>
        <v>44758</v>
      </c>
      <c r="S5" s="133"/>
      <c r="T5" s="133"/>
      <c r="U5" s="133"/>
      <c r="V5" s="44"/>
    </row>
    <row r="6" spans="1:22" ht="36" customHeight="1" x14ac:dyDescent="0.2">
      <c r="A6" s="29"/>
      <c r="B6" s="30">
        <f>'Control Entry'!N29</f>
        <v>44758.816666666666</v>
      </c>
      <c r="C6" s="30">
        <f>'Control Entry'!O29</f>
        <v>44759.48333333333</v>
      </c>
      <c r="D6" s="37"/>
      <c r="E6" s="32" t="str">
        <f>IF(ISBLANK('Control Entry'!F29),"",'Control Entry'!F29)</f>
        <v>INFORMATION</v>
      </c>
      <c r="F6" s="96" t="str">
        <f>IF(ISBLANK('Control Entry'!I29),"",'Control Entry'!I29)</f>
        <v>Info sign to right of gate up stairs</v>
      </c>
      <c r="G6" s="97"/>
      <c r="H6" s="27" t="s">
        <v>29</v>
      </c>
      <c r="K6" s="14"/>
      <c r="L6" s="150" t="str">
        <f>IF(ISBLANK(Brevet_Description),"",Brevet_Description)</f>
        <v>Hats Off East Coaster</v>
      </c>
      <c r="M6" s="150"/>
      <c r="N6" s="150"/>
      <c r="O6" s="150"/>
      <c r="P6" s="150"/>
      <c r="Q6" s="150"/>
      <c r="R6" s="150"/>
      <c r="S6" s="150"/>
      <c r="T6" s="150"/>
      <c r="U6" s="150"/>
    </row>
    <row r="7" spans="1:22" ht="36" customHeight="1" x14ac:dyDescent="0.2">
      <c r="A7" s="38">
        <f>IF(ISBLANK('Control Entry'!D29),"",'Control Entry'!D29)</f>
        <v>443.9</v>
      </c>
      <c r="B7" s="39">
        <f>'Control Entry'!N29</f>
        <v>44758.816666666666</v>
      </c>
      <c r="C7" s="39">
        <f>'Control Entry'!O29</f>
        <v>44759.48333333333</v>
      </c>
      <c r="D7" s="40" t="str">
        <f>IF(ISBLANK('Control Entry'!E29),"",'Control Entry'!E29)</f>
        <v>SAHTLAM</v>
      </c>
      <c r="E7" s="32" t="str">
        <f>IF(ISBLANK('Control Entry'!G29),"",'Control Entry'!G29)</f>
        <v>Wake Lake Nature Reserve</v>
      </c>
      <c r="F7" s="96" t="str">
        <f>IF(ISBLANK('Control Entry'!J29),"",'Control Entry'!J29)</f>
        <v>__________Toads of Wake Lake?</v>
      </c>
      <c r="G7" s="97"/>
      <c r="H7" s="27" t="s">
        <v>29</v>
      </c>
    </row>
    <row r="8" spans="1:22" ht="36" customHeight="1" thickBot="1" x14ac:dyDescent="0.25">
      <c r="A8" s="33"/>
      <c r="B8" s="34">
        <f>'Control Entry'!N29</f>
        <v>44758.816666666666</v>
      </c>
      <c r="C8" s="34">
        <f>'Control Entry'!O29</f>
        <v>44759.48333333333</v>
      </c>
      <c r="D8" s="35"/>
      <c r="E8" s="36" t="str">
        <f>IF(ISBLANK('Control Entry'!H29),"",'Control Entry'!H29)</f>
        <v>4465 Barnjum Rd</v>
      </c>
      <c r="F8" s="100" t="str">
        <f>IF(ISBLANK('Control Entry'!K29),"",'Control Entry'!K29)</f>
        <v/>
      </c>
      <c r="G8" s="99"/>
      <c r="H8" s="27" t="s">
        <v>29</v>
      </c>
      <c r="J8" s="15" t="s">
        <v>34</v>
      </c>
      <c r="L8" s="135"/>
      <c r="M8" s="135"/>
      <c r="N8" s="135"/>
      <c r="O8" s="135"/>
      <c r="P8" s="135"/>
      <c r="Q8" s="135"/>
      <c r="R8" s="28"/>
      <c r="S8" s="45" t="s">
        <v>46</v>
      </c>
      <c r="T8" s="142"/>
      <c r="U8" s="142"/>
    </row>
    <row r="9" spans="1:22" ht="36" customHeight="1" thickBot="1" x14ac:dyDescent="0.3">
      <c r="A9" s="29"/>
      <c r="B9" s="30">
        <f>'Control Entry'!N30</f>
        <v>44758.841666666667</v>
      </c>
      <c r="C9" s="30">
        <f>'Control Entry'!O30</f>
        <v>44759.533333333333</v>
      </c>
      <c r="D9" s="37"/>
      <c r="E9" s="32" t="str">
        <f>IF(ISBLANK('Control Entry'!F30),"",'Control Entry'!F30)</f>
        <v>INFORMATION</v>
      </c>
      <c r="F9" s="96" t="str">
        <f>IF(ISBLANK('Control Entry'!I30),"",'Control Entry'!I30)</f>
        <v>Below info signs on outside wall of washrooms</v>
      </c>
      <c r="G9" s="97"/>
      <c r="H9" s="27" t="s">
        <v>29</v>
      </c>
      <c r="J9" s="15" t="s">
        <v>35</v>
      </c>
      <c r="K9" s="15"/>
      <c r="L9" s="152" t="s">
        <v>54</v>
      </c>
      <c r="M9" s="152"/>
      <c r="N9" s="152"/>
      <c r="O9" s="152"/>
      <c r="P9" s="152"/>
      <c r="Q9" s="152"/>
      <c r="R9" s="152"/>
      <c r="S9" s="152"/>
      <c r="T9" s="152"/>
      <c r="U9" s="152"/>
    </row>
    <row r="10" spans="1:22" ht="36" customHeight="1" thickBot="1" x14ac:dyDescent="0.3">
      <c r="A10" s="38">
        <f>IF(ISBLANK('Control Entry'!D30),"",'Control Entry'!D30)</f>
        <v>462</v>
      </c>
      <c r="B10" s="39">
        <f>'Control Entry'!N30</f>
        <v>44758.841666666667</v>
      </c>
      <c r="C10" s="39">
        <f>'Control Entry'!O30</f>
        <v>44759.533333333333</v>
      </c>
      <c r="D10" s="40" t="str">
        <f>IF(ISBLANK('Control Entry'!E30),"",'Control Entry'!E30)</f>
        <v>GLENORA</v>
      </c>
      <c r="E10" s="53" t="str">
        <f>IF(ISBLANK('Control Entry'!G30),"",'Control Entry'!G30)</f>
        <v>Trails Head Park</v>
      </c>
      <c r="F10" s="96" t="str">
        <f>IF(ISBLANK('Control Entry'!J30),"",'Control Entry'!J30)</f>
        <v>Is the water potable?</v>
      </c>
      <c r="G10" s="97"/>
      <c r="H10" s="27" t="s">
        <v>29</v>
      </c>
      <c r="J10" s="15"/>
      <c r="K10" s="15"/>
      <c r="L10" s="144"/>
      <c r="M10" s="144"/>
      <c r="N10" s="144"/>
      <c r="O10" s="144"/>
      <c r="P10" s="144"/>
      <c r="Q10" s="144"/>
      <c r="R10" s="144"/>
      <c r="S10" s="144"/>
      <c r="T10" s="144"/>
      <c r="U10" s="144"/>
    </row>
    <row r="11" spans="1:22" ht="36" customHeight="1" thickBot="1" x14ac:dyDescent="0.3">
      <c r="A11" s="33"/>
      <c r="B11" s="34">
        <f>'Control Entry'!N30</f>
        <v>44758.841666666667</v>
      </c>
      <c r="C11" s="34">
        <f>'Control Entry'!O30</f>
        <v>44759.533333333333</v>
      </c>
      <c r="D11" s="35"/>
      <c r="E11" s="36" t="str">
        <f>IF(ISBLANK('Control Entry'!H30),"",'Control Entry'!H30)</f>
        <v>4289 Robertson Rd</v>
      </c>
      <c r="F11" s="100" t="str">
        <f>IF(ISBLANK('Control Entry'!K30),"",'Control Entry'!K30)</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f>'Control Entry'!N31</f>
        <v>44758.880555555559</v>
      </c>
      <c r="C12" s="30">
        <f>'Control Entry'!O31</f>
        <v>44759.611111111109</v>
      </c>
      <c r="D12" s="37"/>
      <c r="E12" s="32" t="str">
        <f>IF(ISBLANK('Control Entry'!F31),"",'Control Entry'!F31)</f>
        <v>BUSINESS</v>
      </c>
      <c r="F12" s="96" t="str">
        <f>IF(ISBLANK('Control Entry'!I31),"",'Control Entry'!I31)</f>
        <v/>
      </c>
      <c r="G12" s="97"/>
      <c r="H12" s="27" t="s">
        <v>29</v>
      </c>
      <c r="J12" s="15" t="s">
        <v>38</v>
      </c>
      <c r="K12" s="15"/>
      <c r="L12" s="144"/>
      <c r="M12" s="144"/>
      <c r="N12" s="144"/>
      <c r="O12" s="18"/>
      <c r="P12" s="18" t="s">
        <v>39</v>
      </c>
      <c r="Q12" s="18"/>
      <c r="R12" s="18"/>
      <c r="S12" s="131"/>
      <c r="T12" s="131"/>
      <c r="U12" s="131"/>
    </row>
    <row r="13" spans="1:22" ht="36" customHeight="1" thickBot="1" x14ac:dyDescent="0.3">
      <c r="A13" s="38">
        <f>IF(ISBLANK('Control Entry'!D31),"",'Control Entry'!D31)</f>
        <v>489.9</v>
      </c>
      <c r="B13" s="39">
        <f>'Control Entry'!N31</f>
        <v>44758.880555555559</v>
      </c>
      <c r="C13" s="39">
        <f>'Control Entry'!O31</f>
        <v>44759.611111111109</v>
      </c>
      <c r="D13" s="40" t="str">
        <f>IF(ISBLANK('Control Entry'!E31),"",'Control Entry'!E31)</f>
        <v>MILL BAY</v>
      </c>
      <c r="E13" s="32" t="str">
        <f>IF(ISBLANK('Control Entry'!G31),"",'Control Entry'!G31)</f>
        <v>Your choice</v>
      </c>
      <c r="F13" s="96" t="str">
        <f>IF(ISBLANK('Control Entry'!J31),"",'Control Entry'!J31)</f>
        <v/>
      </c>
      <c r="G13" s="97"/>
      <c r="H13" s="27" t="s">
        <v>29</v>
      </c>
      <c r="J13" s="15" t="s">
        <v>40</v>
      </c>
      <c r="L13" s="155"/>
      <c r="M13" s="155"/>
      <c r="N13" s="155"/>
      <c r="O13" s="19"/>
      <c r="P13" s="18" t="s">
        <v>41</v>
      </c>
      <c r="Q13" s="18"/>
      <c r="R13" s="132"/>
      <c r="S13" s="132"/>
      <c r="T13" s="132"/>
      <c r="U13" s="132"/>
    </row>
    <row r="14" spans="1:22" ht="36" customHeight="1" thickBot="1" x14ac:dyDescent="0.25">
      <c r="A14" s="33"/>
      <c r="B14" s="34">
        <f>'Control Entry'!N31</f>
        <v>44758.880555555559</v>
      </c>
      <c r="C14" s="34">
        <f>'Control Entry'!O31</f>
        <v>44759.611111111109</v>
      </c>
      <c r="D14" s="35"/>
      <c r="E14" s="36" t="str">
        <f>IF(ISBLANK('Control Entry'!H31),"",'Control Entry'!H31)</f>
        <v xml:space="preserve">825 Deloume Rd </v>
      </c>
      <c r="F14" s="100" t="str">
        <f>IF(ISBLANK('Control Entry'!K31),"",'Control Entry'!K31)</f>
        <v/>
      </c>
      <c r="G14" s="99"/>
      <c r="H14" s="27" t="s">
        <v>29</v>
      </c>
    </row>
    <row r="15" spans="1:22" ht="36" customHeight="1" x14ac:dyDescent="0.2">
      <c r="A15" s="29"/>
      <c r="B15" s="30">
        <f>'Control Entry'!N32</f>
        <v>44758.908333333333</v>
      </c>
      <c r="C15" s="30">
        <f>'Control Entry'!O32</f>
        <v>44759.666666666664</v>
      </c>
      <c r="D15" s="37"/>
      <c r="E15" s="32" t="str">
        <f>IF(ISBLANK('Control Entry'!F32),"",'Control Entry'!F32)</f>
        <v>INFORMATION</v>
      </c>
      <c r="F15" s="96" t="str">
        <f>IF(ISBLANK('Control Entry'!I32),"",'Control Entry'!I32)</f>
        <v>One Way sign near gate</v>
      </c>
      <c r="G15" s="97"/>
      <c r="H15" s="27" t="s">
        <v>29</v>
      </c>
      <c r="J15" s="15"/>
      <c r="L15" s="149" t="s">
        <v>58</v>
      </c>
      <c r="M15" s="149"/>
      <c r="N15" s="149"/>
      <c r="O15" s="149"/>
      <c r="P15" s="149"/>
      <c r="Q15" s="149"/>
      <c r="R15" s="149"/>
      <c r="S15" s="149"/>
      <c r="T15" s="149"/>
      <c r="U15" s="149"/>
    </row>
    <row r="16" spans="1:22" ht="36" customHeight="1" thickBot="1" x14ac:dyDescent="0.25">
      <c r="A16" s="38">
        <f>IF(ISBLANK('Control Entry'!D32),"",'Control Entry'!D32)</f>
        <v>510</v>
      </c>
      <c r="B16" s="39">
        <f>'Control Entry'!N32</f>
        <v>44758.908333333333</v>
      </c>
      <c r="C16" s="39">
        <f>'Control Entry'!O32</f>
        <v>44759.666666666664</v>
      </c>
      <c r="D16" s="40" t="str">
        <f>IF(ISBLANK('Control Entry'!E32),"",'Control Entry'!E32)</f>
        <v>SHAWNIGAN LAKE</v>
      </c>
      <c r="E16" s="32" t="str">
        <f>IF(ISBLANK('Control Entry'!G32),"",'Control Entry'!G32)</f>
        <v>West Shawnigan Provincial Park</v>
      </c>
      <c r="F16" s="98" t="str">
        <f>IF(ISBLANK('Control Entry'!J32),"",'Control Entry'!J32)</f>
        <v>First word under arrow?</v>
      </c>
      <c r="G16" s="97"/>
      <c r="H16" s="27" t="s">
        <v>29</v>
      </c>
      <c r="L16" s="153"/>
      <c r="M16" s="153"/>
      <c r="N16" s="153"/>
      <c r="O16" s="153"/>
      <c r="P16" s="153"/>
      <c r="Q16" s="153"/>
      <c r="R16" s="153"/>
      <c r="S16" s="153"/>
      <c r="T16" s="153"/>
      <c r="U16" s="153"/>
    </row>
    <row r="17" spans="1:22" ht="36" customHeight="1" thickBot="1" x14ac:dyDescent="0.25">
      <c r="A17" s="33"/>
      <c r="B17" s="34">
        <f>'Control Entry'!N32</f>
        <v>44758.908333333333</v>
      </c>
      <c r="C17" s="34">
        <f>'Control Entry'!O32</f>
        <v>44759.666666666664</v>
      </c>
      <c r="D17" s="35"/>
      <c r="E17" s="36" t="str">
        <f>IF(ISBLANK('Control Entry'!H32),"",'Control Entry'!H32)</f>
        <v>W. Shawnigan Lake Rd</v>
      </c>
      <c r="F17" s="100" t="str">
        <f>IF(ISBLANK('Control Entry'!K32),"",'Control Entry'!K32)</f>
        <v/>
      </c>
      <c r="G17" s="99"/>
      <c r="H17" s="27" t="s">
        <v>29</v>
      </c>
    </row>
    <row r="18" spans="1:22" ht="36" customHeight="1" x14ac:dyDescent="0.2">
      <c r="A18" s="29"/>
      <c r="B18" s="30">
        <f>'Control Entry'!N33</f>
        <v>44759.035416666666</v>
      </c>
      <c r="C18" s="30">
        <f>'Control Entry'!O33</f>
        <v>44759.916666666664</v>
      </c>
      <c r="D18" s="37"/>
      <c r="E18" s="32" t="str">
        <f>IF(ISBLANK('Control Entry'!F33),"",'Control Entry'!F33)</f>
        <v>BUSINESS</v>
      </c>
      <c r="F18" s="96" t="str">
        <f>IF(ISBLANK('Control Entry'!I33),"",'Control Entry'!I33)</f>
        <v/>
      </c>
      <c r="G18" s="97"/>
      <c r="H18" s="27" t="s">
        <v>29</v>
      </c>
    </row>
    <row r="19" spans="1:22" ht="36" customHeight="1" x14ac:dyDescent="0.2">
      <c r="A19" s="38">
        <f>IF(ISBLANK('Control Entry'!D33),"",'Control Entry'!D33)</f>
        <v>601.20000000000005</v>
      </c>
      <c r="B19" s="39">
        <f>'Control Entry'!N33</f>
        <v>44759.035416666666</v>
      </c>
      <c r="C19" s="39">
        <f>'Control Entry'!O33</f>
        <v>44759.916666666664</v>
      </c>
      <c r="D19" s="40" t="str">
        <f>IF(ISBLANK('Control Entry'!E33),"",'Control Entry'!E33)</f>
        <v>NANAIMO</v>
      </c>
      <c r="E19" s="32" t="str">
        <f>IF(ISBLANK('Control Entry'!G33),"",'Control Entry'!G33)</f>
        <v>Canco</v>
      </c>
      <c r="F19" s="96" t="str">
        <f>IF(ISBLANK('Control Entry'!J33),"",'Control Entry'!J33)</f>
        <v/>
      </c>
      <c r="G19" s="97"/>
      <c r="H19" s="27" t="s">
        <v>29</v>
      </c>
    </row>
    <row r="20" spans="1:22" ht="36" customHeight="1" thickBot="1" x14ac:dyDescent="0.25">
      <c r="A20" s="33"/>
      <c r="B20" s="34">
        <f>'Control Entry'!N33</f>
        <v>44759.035416666666</v>
      </c>
      <c r="C20" s="34">
        <f>'Control Entry'!O33</f>
        <v>44759.916666666664</v>
      </c>
      <c r="D20" s="35"/>
      <c r="E20" s="36" t="str">
        <f>IF(ISBLANK('Control Entry'!H33),"",'Control Entry'!H33)</f>
        <v>1050 Terminal Ave N</v>
      </c>
      <c r="F20" s="100" t="str">
        <f>IF(ISBLANK('Control Entry'!K33),"",'Control Entry'!K33)</f>
        <v/>
      </c>
      <c r="G20" s="99"/>
      <c r="H20" s="27" t="s">
        <v>29</v>
      </c>
      <c r="J20" s="59" t="s">
        <v>44</v>
      </c>
      <c r="K20" s="59"/>
      <c r="L20" s="156">
        <f>IF(ISBLANK('Control Entry'!B12),"",'Control Entry'!B12)</f>
        <v>44758</v>
      </c>
      <c r="M20" s="156"/>
      <c r="N20" s="156"/>
      <c r="P20" s="18" t="s">
        <v>0</v>
      </c>
      <c r="Q20" s="18"/>
      <c r="S20" s="148">
        <f>IF(ISBLANK('Control Entry'!B13),"",'Control Entry'!B13)</f>
        <v>0.25</v>
      </c>
      <c r="T20" s="148"/>
      <c r="U20" s="148"/>
    </row>
    <row r="21" spans="1:22" ht="36" customHeight="1" x14ac:dyDescent="0.2">
      <c r="A21" s="29"/>
      <c r="B21" s="30" t="str">
        <f>'Control Entry'!N34</f>
        <v/>
      </c>
      <c r="C21" s="30" t="str">
        <f>'Control Entry'!O34</f>
        <v/>
      </c>
      <c r="D21" s="37"/>
      <c r="E21" s="32" t="str">
        <f>IF(ISBLANK('Control Entry'!F34),"",'Control Entry'!F34)</f>
        <v/>
      </c>
      <c r="F21" s="96" t="str">
        <f>IF(ISBLANK('Control Entry'!I34),"",'Control Entry'!I34)</f>
        <v/>
      </c>
      <c r="G21" s="97"/>
      <c r="H21" s="27" t="s">
        <v>29</v>
      </c>
      <c r="J21" s="157" t="s">
        <v>90</v>
      </c>
      <c r="K21" s="157"/>
      <c r="L21" s="157"/>
      <c r="M21" s="157"/>
      <c r="N21" s="157"/>
      <c r="O21" s="157"/>
      <c r="P21" s="157"/>
      <c r="Q21" s="157"/>
      <c r="R21" s="157"/>
      <c r="S21" s="157"/>
      <c r="T21" s="157"/>
      <c r="U21" s="157"/>
      <c r="V21" s="28"/>
    </row>
    <row r="22" spans="1:22" ht="36" customHeight="1" thickBot="1" x14ac:dyDescent="0.25">
      <c r="A22" s="38" t="str">
        <f>IF(ISBLANK('Control Entry'!D34),"",'Control Entry'!D34)</f>
        <v/>
      </c>
      <c r="B22" s="39" t="str">
        <f>'Control Entry'!N34</f>
        <v/>
      </c>
      <c r="C22" s="39" t="str">
        <f>'Control Entry'!O34</f>
        <v/>
      </c>
      <c r="D22" s="40" t="str">
        <f>IF(ISBLANK('Control Entry'!E34),"",'Control Entry'!E34)</f>
        <v/>
      </c>
      <c r="E22" s="32" t="str">
        <f>IF(ISBLANK('Control Entry'!G34),"",'Control Entry'!G34)</f>
        <v/>
      </c>
      <c r="F22" s="96" t="str">
        <f>IF(ISBLANK('Control Entry'!J34),"",'Control Entry'!J34)</f>
        <v/>
      </c>
      <c r="G22" s="97"/>
      <c r="H22" s="27" t="s">
        <v>29</v>
      </c>
      <c r="J22" s="81" t="s">
        <v>45</v>
      </c>
      <c r="K22" s="81"/>
      <c r="L22" s="154"/>
      <c r="M22" s="154"/>
      <c r="N22" s="154"/>
      <c r="O22" s="19"/>
      <c r="P22" s="18" t="s">
        <v>1</v>
      </c>
      <c r="Q22" s="18"/>
      <c r="R22" s="19"/>
      <c r="S22" s="151"/>
      <c r="T22" s="151"/>
      <c r="U22" s="151"/>
    </row>
    <row r="23" spans="1:22" ht="36" customHeight="1" thickBot="1" x14ac:dyDescent="0.25">
      <c r="A23" s="33"/>
      <c r="B23" s="34" t="str">
        <f>'Control Entry'!N34</f>
        <v/>
      </c>
      <c r="C23" s="34" t="str">
        <f>'Control Entry'!O34</f>
        <v/>
      </c>
      <c r="D23" s="35"/>
      <c r="E23" s="36" t="str">
        <f>IF(ISBLANK('Control Entry'!H34),"",'Control Entry'!H34)</f>
        <v/>
      </c>
      <c r="F23" s="100" t="str">
        <f>IF(ISBLANK('Control Entry'!K34),"",'Control Entry'!K34)</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Entry'!N35</f>
        <v/>
      </c>
      <c r="C24" s="30" t="str">
        <f>'Control Entry'!O35</f>
        <v/>
      </c>
      <c r="D24" s="37"/>
      <c r="E24" s="32" t="str">
        <f>IF(ISBLANK('Control Entry'!F35),"",'Control Entry'!F35)</f>
        <v/>
      </c>
      <c r="F24" s="96" t="str">
        <f>IF(ISBLANK('Control Entry'!I35),"",'Control Entry'!I35)</f>
        <v/>
      </c>
      <c r="G24" s="97"/>
      <c r="H24" s="27" t="s">
        <v>29</v>
      </c>
      <c r="J24" s="151"/>
      <c r="K24" s="151"/>
      <c r="L24" s="151"/>
      <c r="M24" s="151"/>
      <c r="N24" s="151"/>
      <c r="O24" s="19"/>
      <c r="P24" s="18" t="s">
        <v>2</v>
      </c>
      <c r="Q24" s="18"/>
      <c r="R24" s="19"/>
      <c r="S24" s="151"/>
      <c r="T24" s="151"/>
      <c r="U24" s="151"/>
    </row>
    <row r="25" spans="1:22" ht="36" customHeight="1" x14ac:dyDescent="0.2">
      <c r="A25" s="38" t="str">
        <f>IF(ISBLANK('Control Entry'!D35),"",'Control Entry'!D35)</f>
        <v/>
      </c>
      <c r="B25" s="39" t="str">
        <f>'Control Entry'!N35</f>
        <v/>
      </c>
      <c r="C25" s="39" t="str">
        <f>'Control Entry'!O35</f>
        <v/>
      </c>
      <c r="D25" s="40" t="str">
        <f>IF(ISBLANK('Control Entry'!E35),"",'Control Entry'!E35)</f>
        <v/>
      </c>
      <c r="E25" s="32" t="str">
        <f>IF(ISBLANK('Control Entry'!G35),"",'Control Entry'!G35)</f>
        <v/>
      </c>
      <c r="F25" s="96" t="str">
        <f>IF(ISBLANK('Control Entry'!J35),"",'Control Entry'!J35)</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t="str">
        <f>'Control Entry'!N35</f>
        <v/>
      </c>
      <c r="C26" s="34" t="str">
        <f>'Control Entry'!O35</f>
        <v/>
      </c>
      <c r="D26" s="35"/>
      <c r="E26" s="36" t="str">
        <f>IF(ISBLANK('Control Entry'!H35),"",'Control Entry'!H35)</f>
        <v/>
      </c>
      <c r="F26" s="100" t="str">
        <f>IF(ISBLANK('Control Entry'!K35),"",'Control Entry'!K35)</f>
        <v/>
      </c>
      <c r="G26" s="99"/>
      <c r="H26" s="27" t="s">
        <v>29</v>
      </c>
    </row>
    <row r="27" spans="1:22" ht="36" customHeight="1" x14ac:dyDescent="0.2">
      <c r="A27" s="29"/>
      <c r="B27" s="30" t="str">
        <f>'Control Entry'!N36</f>
        <v/>
      </c>
      <c r="C27" s="30" t="str">
        <f>'Control Entry'!O36</f>
        <v/>
      </c>
      <c r="D27" s="37"/>
      <c r="E27" s="32" t="str">
        <f>IF(ISBLANK('Control Entry'!F36),"",'Control Entry'!F36)</f>
        <v/>
      </c>
      <c r="F27" s="96" t="str">
        <f>IF(ISBLANK('Control Entry'!I36),"",'Control Entry'!I36)</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IF(ISBLANK('Control Entry'!D36),"",'Control Entry'!D36)</f>
        <v/>
      </c>
      <c r="B28" s="39" t="str">
        <f>'Control Entry'!N36</f>
        <v/>
      </c>
      <c r="C28" s="39" t="str">
        <f>'Control Entry'!O36</f>
        <v/>
      </c>
      <c r="D28" s="40" t="str">
        <f>IF(ISBLANK('Control Entry'!E36),"",'Control Entry'!E36)</f>
        <v/>
      </c>
      <c r="E28" s="32" t="str">
        <f>IF(ISBLANK('Control Entry'!G36),"",'Control Entry'!G36)</f>
        <v/>
      </c>
      <c r="F28" s="96" t="str">
        <f>IF(ISBLANK('Control Entry'!J36),"",'Control Entry'!J36)</f>
        <v/>
      </c>
      <c r="G28" s="97"/>
      <c r="H28" s="27" t="s">
        <v>29</v>
      </c>
    </row>
    <row r="29" spans="1:22" ht="36" customHeight="1" thickBot="1" x14ac:dyDescent="0.25">
      <c r="A29" s="33"/>
      <c r="B29" s="34" t="str">
        <f>'Control Entry'!N36</f>
        <v/>
      </c>
      <c r="C29" s="34" t="str">
        <f>'Control Entry'!O36</f>
        <v/>
      </c>
      <c r="D29" s="35"/>
      <c r="E29" s="36" t="str">
        <f>IF(ISBLANK('Control Entry'!H36),"",'Control Entry'!H36)</f>
        <v/>
      </c>
      <c r="F29" s="100" t="str">
        <f>IF(ISBLANK('Control Entry'!K36),"",'Control Entry'!K36)</f>
        <v/>
      </c>
      <c r="G29" s="99"/>
      <c r="H29" s="27" t="s">
        <v>29</v>
      </c>
      <c r="M29" s="122" t="s">
        <v>42</v>
      </c>
      <c r="N29" s="122"/>
      <c r="O29" s="122"/>
      <c r="P29" s="122"/>
      <c r="Q29" s="122"/>
      <c r="R29" s="122"/>
      <c r="S29" s="122"/>
      <c r="T29" s="122"/>
      <c r="U29" s="54"/>
    </row>
    <row r="30" spans="1:22" ht="36" customHeight="1" x14ac:dyDescent="0.2">
      <c r="A30" s="29"/>
      <c r="B30" s="30" t="str">
        <f>'Control Entry'!N37</f>
        <v/>
      </c>
      <c r="C30" s="30" t="str">
        <f>'Control Entry'!O37</f>
        <v/>
      </c>
      <c r="D30" s="37"/>
      <c r="E30" s="32" t="str">
        <f>IF(ISBLANK('Control Entry'!F37),"",'Control Entry'!F37)</f>
        <v/>
      </c>
      <c r="F30" s="96" t="str">
        <f>IF(ISBLANK('Control Entry'!I37),"",'Control Entry'!I37)</f>
        <v/>
      </c>
      <c r="G30" s="97"/>
      <c r="H30" s="27" t="s">
        <v>29</v>
      </c>
      <c r="M30" s="16"/>
      <c r="N30" s="20"/>
      <c r="O30" s="20"/>
      <c r="P30" s="21"/>
      <c r="Q30" s="102"/>
      <c r="R30" s="20"/>
      <c r="S30" s="20"/>
      <c r="T30" s="21"/>
      <c r="U30" s="22"/>
    </row>
    <row r="31" spans="1:22" ht="36" customHeight="1" x14ac:dyDescent="0.2">
      <c r="A31" s="38" t="str">
        <f>IF(ISBLANK('Control Entry'!D37),"",'Control Entry'!D37)</f>
        <v/>
      </c>
      <c r="B31" s="39" t="str">
        <f>'Control Entry'!N37</f>
        <v/>
      </c>
      <c r="C31" s="39" t="str">
        <f>'Control Entry'!O37</f>
        <v/>
      </c>
      <c r="D31" s="40" t="str">
        <f>IF(ISBLANK('Control Entry'!E37),"",'Control Entry'!E37)</f>
        <v/>
      </c>
      <c r="E31" s="32" t="str">
        <f>IF(ISBLANK('Control Entry'!G37),"",'Control Entry'!G37)</f>
        <v/>
      </c>
      <c r="F31" s="96" t="str">
        <f>IF(ISBLANK('Control Entry'!J37),"",'Control Entry'!J37)</f>
        <v/>
      </c>
      <c r="G31" s="97"/>
      <c r="H31" s="27" t="s">
        <v>29</v>
      </c>
      <c r="M31" s="17"/>
      <c r="N31" s="22"/>
      <c r="O31" s="22"/>
      <c r="P31" s="23"/>
      <c r="Q31" s="103"/>
      <c r="R31" s="22"/>
      <c r="S31" s="22"/>
      <c r="T31" s="23"/>
      <c r="U31" s="22"/>
    </row>
    <row r="32" spans="1:22" ht="36" customHeight="1" thickBot="1" x14ac:dyDescent="0.25">
      <c r="A32" s="33"/>
      <c r="B32" s="34" t="str">
        <f>'Control Entry'!N37</f>
        <v/>
      </c>
      <c r="C32" s="34" t="str">
        <f>'Control Entry'!O37</f>
        <v/>
      </c>
      <c r="D32" s="35"/>
      <c r="E32" s="36" t="str">
        <f>IF(ISBLANK('Control Entry'!H37),"",'Control Entry'!H37)</f>
        <v/>
      </c>
      <c r="F32" s="100" t="str">
        <f>IF(ISBLANK('Control Entry'!K37),"",'Control Entry'!K37)</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44745</v>
      </c>
      <c r="R33" s="127"/>
      <c r="S33" s="127"/>
      <c r="T33" s="127"/>
      <c r="U33" s="92"/>
      <c r="V33" s="57"/>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DiqJ+JOYBhoyZ1m99XU4D8NDihYKDATVeEm7KPe0KaI0+RIl/s0HliAQDBep4bratR5dvcZSaZLG/PV3ddwAYA==" saltValue="BtrAYkICphSvoTgltO5kCQ==" spinCount="100000" sheet="1" objects="1" scenarios="1" formatCells="0" selectLockedCells="1"/>
  <mergeCells count="42">
    <mergeCell ref="L16:U16"/>
    <mergeCell ref="L22:N22"/>
    <mergeCell ref="S22:U22"/>
    <mergeCell ref="L11:N11"/>
    <mergeCell ref="S11:U11"/>
    <mergeCell ref="L12:N12"/>
    <mergeCell ref="S12:U12"/>
    <mergeCell ref="L13:N13"/>
    <mergeCell ref="R13:U13"/>
    <mergeCell ref="J21:U21"/>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M32:P32"/>
    <mergeCell ref="Q32:T32"/>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s>
  <phoneticPr fontId="16" type="noConversion"/>
  <conditionalFormatting sqref="P22:U24">
    <cfRule type="expression" dxfId="14" priority="4">
      <formula>$S$3="#2"</formula>
    </cfRule>
  </conditionalFormatting>
  <conditionalFormatting sqref="K27:V27">
    <cfRule type="expression" dxfId="13" priority="3">
      <formula>$S$3="#2"</formula>
    </cfRule>
  </conditionalFormatting>
  <conditionalFormatting sqref="J22:N22">
    <cfRule type="expression" dxfId="12" priority="2">
      <formula>$S$3="#2"</formula>
    </cfRule>
  </conditionalFormatting>
  <conditionalFormatting sqref="J21:U21">
    <cfRule type="expression" dxfId="11" priority="1">
      <formula>$S$3&lt;&gt;"#2"</formula>
    </cfRule>
  </conditionalFormatting>
  <printOptions horizontalCentered="1" verticalCentered="1"/>
  <pageMargins left="0.2" right="0.2" top="0.2" bottom="0.2" header="0.51" footer="0.51"/>
  <pageSetup scale="45"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zoomScale="92" zoomScaleNormal="92" zoomScalePageLayoutView="92" workbookViewId="0">
      <selection activeCell="F15" sqref="F15"/>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74</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t="str">
        <f>'Control Entry'!N41</f>
        <v/>
      </c>
      <c r="C3" s="30" t="str">
        <f>'Control Entry'!O41</f>
        <v/>
      </c>
      <c r="D3" s="31"/>
      <c r="E3" s="32" t="str">
        <f>IF(ISBLANK('Control Entry'!F41),"",'Control Entry'!F41)</f>
        <v/>
      </c>
      <c r="F3" s="96" t="str">
        <f>IF(ISBLANK('Control Entry'!I41),"",'Control Entry'!I41)</f>
        <v/>
      </c>
      <c r="G3" s="97"/>
      <c r="H3" s="27" t="s">
        <v>29</v>
      </c>
      <c r="K3" s="14"/>
      <c r="O3" s="147" t="s">
        <v>73</v>
      </c>
      <c r="P3" s="147"/>
      <c r="Q3" s="147"/>
      <c r="R3" s="147"/>
      <c r="S3" s="85" t="str">
        <f>IF('Control Entry'!D41&lt;&gt;0,"#3",IF(AND('Control Entry'!D41=0,'Control Entry'!D54&lt;&gt;0),"#1",""))</f>
        <v/>
      </c>
      <c r="T3" s="86"/>
      <c r="U3" s="42"/>
    </row>
    <row r="4" spans="1:22" ht="36" customHeight="1" x14ac:dyDescent="0.2">
      <c r="A4" s="38" t="str">
        <f>IF(ISBLANK('Control Entry'!D41),"",'Control Entry'!D41)</f>
        <v/>
      </c>
      <c r="B4" s="39" t="str">
        <f>'Control Entry'!N41</f>
        <v/>
      </c>
      <c r="C4" s="39" t="str">
        <f>'Control Entry'!O41</f>
        <v/>
      </c>
      <c r="D4" s="40" t="str">
        <f>IF(ISBLANK('Control Entry'!E41),"",'Control Entry'!E41)</f>
        <v/>
      </c>
      <c r="E4" s="32" t="str">
        <f>IF(ISBLANK('Control Entry'!G41),"",'Control Entry'!G41)</f>
        <v/>
      </c>
      <c r="F4" s="96" t="str">
        <f>IF(ISBLANK('Control Entry'!J41),"",'Control Entry'!J41)</f>
        <v/>
      </c>
      <c r="G4" s="97"/>
      <c r="H4" s="27" t="s">
        <v>29</v>
      </c>
      <c r="K4" s="14"/>
      <c r="M4" s="130" t="str">
        <f>IF(ISBLANK(brevet),"",brevet&amp;" km Randonnée")</f>
        <v>600 km Randonnée</v>
      </c>
      <c r="N4" s="130"/>
      <c r="O4" s="130"/>
      <c r="P4" s="130"/>
      <c r="Q4" s="130"/>
      <c r="R4" s="130"/>
      <c r="S4" s="130"/>
      <c r="T4" s="130"/>
      <c r="U4" s="43"/>
    </row>
    <row r="5" spans="1:22" ht="36" customHeight="1" thickBot="1" x14ac:dyDescent="0.25">
      <c r="A5" s="33"/>
      <c r="B5" s="34" t="str">
        <f>'Control Entry'!N41</f>
        <v/>
      </c>
      <c r="C5" s="34" t="str">
        <f>'Control Entry'!O41</f>
        <v/>
      </c>
      <c r="D5" s="35"/>
      <c r="E5" s="36" t="str">
        <f>IF(ISBLANK('Control Entry'!H41),"",'Control Entry'!H41)</f>
        <v/>
      </c>
      <c r="F5" s="100" t="str">
        <f>IF(ISBLANK('Control Entry'!K41),"",'Control Entry'!K41)</f>
        <v/>
      </c>
      <c r="G5" s="99"/>
      <c r="H5" s="27" t="s">
        <v>29</v>
      </c>
      <c r="K5" s="14"/>
      <c r="M5" s="15"/>
      <c r="N5" s="145" t="s">
        <v>47</v>
      </c>
      <c r="O5" s="145"/>
      <c r="P5" s="61">
        <f>IF(ISBLANK(Brevet_Number),"",Brevet_Number)</f>
        <v>5161</v>
      </c>
      <c r="Q5" s="62"/>
      <c r="R5" s="133">
        <f>IF(ISBLANK('Control Entry'!$B10),"",'Control Entry'!$B10)</f>
        <v>44758</v>
      </c>
      <c r="S5" s="133"/>
      <c r="T5" s="133"/>
      <c r="U5" s="133"/>
      <c r="V5" s="44"/>
    </row>
    <row r="6" spans="1:22" ht="36" customHeight="1" x14ac:dyDescent="0.2">
      <c r="A6" s="29"/>
      <c r="B6" s="30" t="str">
        <f>'Control Entry'!N42</f>
        <v/>
      </c>
      <c r="C6" s="30" t="str">
        <f>'Control Entry'!O42</f>
        <v/>
      </c>
      <c r="D6" s="37"/>
      <c r="E6" s="32" t="str">
        <f>IF(ISBLANK('Control Entry'!F42),"",'Control Entry'!F42)</f>
        <v/>
      </c>
      <c r="F6" s="96" t="str">
        <f>IF(ISBLANK('Control Entry'!I42),"",'Control Entry'!I42)</f>
        <v/>
      </c>
      <c r="G6" s="97"/>
      <c r="H6" s="27" t="s">
        <v>29</v>
      </c>
      <c r="K6" s="14"/>
      <c r="L6" s="150" t="str">
        <f>IF(ISBLANK(Brevet_Description),"",Brevet_Description)</f>
        <v>Hats Off East Coaster</v>
      </c>
      <c r="M6" s="150"/>
      <c r="N6" s="150"/>
      <c r="O6" s="150"/>
      <c r="P6" s="150"/>
      <c r="Q6" s="150"/>
      <c r="R6" s="150"/>
      <c r="S6" s="150"/>
      <c r="T6" s="150"/>
      <c r="U6" s="150"/>
    </row>
    <row r="7" spans="1:22" ht="36" customHeight="1" x14ac:dyDescent="0.2">
      <c r="A7" s="38" t="str">
        <f>IF(ISBLANK('Control Entry'!D42),"",'Control Entry'!D42)</f>
        <v/>
      </c>
      <c r="B7" s="39" t="str">
        <f>'Control Entry'!N42</f>
        <v/>
      </c>
      <c r="C7" s="39" t="str">
        <f>'Control Entry'!O42</f>
        <v/>
      </c>
      <c r="D7" s="40" t="str">
        <f>IF(ISBLANK('Control Entry'!E42),"",'Control Entry'!E42)</f>
        <v/>
      </c>
      <c r="E7" s="32" t="str">
        <f>IF(ISBLANK('Control Entry'!G42),"",'Control Entry'!G42)</f>
        <v/>
      </c>
      <c r="F7" s="96" t="str">
        <f>IF(ISBLANK('Control Entry'!J42),"",'Control Entry'!J42)</f>
        <v/>
      </c>
      <c r="G7" s="97"/>
      <c r="H7" s="27" t="s">
        <v>29</v>
      </c>
    </row>
    <row r="8" spans="1:22" ht="36" customHeight="1" thickBot="1" x14ac:dyDescent="0.25">
      <c r="A8" s="33"/>
      <c r="B8" s="34" t="str">
        <f>'Control Entry'!N42</f>
        <v/>
      </c>
      <c r="C8" s="34" t="str">
        <f>'Control Entry'!O42</f>
        <v/>
      </c>
      <c r="D8" s="35"/>
      <c r="E8" s="36" t="str">
        <f>IF(ISBLANK('Control Entry'!H42),"",'Control Entry'!H42)</f>
        <v/>
      </c>
      <c r="F8" s="100" t="str">
        <f>IF(ISBLANK('Control Entry'!K42),"",'Control Entry'!K42)</f>
        <v/>
      </c>
      <c r="G8" s="99"/>
      <c r="H8" s="27" t="s">
        <v>29</v>
      </c>
      <c r="J8" s="15" t="s">
        <v>34</v>
      </c>
      <c r="L8" s="135"/>
      <c r="M8" s="135"/>
      <c r="N8" s="135"/>
      <c r="O8" s="135"/>
      <c r="P8" s="135"/>
      <c r="Q8" s="135"/>
      <c r="R8" s="28"/>
      <c r="S8" s="45" t="s">
        <v>46</v>
      </c>
      <c r="T8" s="142"/>
      <c r="U8" s="142"/>
    </row>
    <row r="9" spans="1:22" ht="36" customHeight="1" thickBot="1" x14ac:dyDescent="0.3">
      <c r="A9" s="29"/>
      <c r="B9" s="30" t="str">
        <f>'Control Entry'!N43</f>
        <v/>
      </c>
      <c r="C9" s="30" t="str">
        <f>'Control Entry'!O43</f>
        <v/>
      </c>
      <c r="D9" s="37"/>
      <c r="E9" s="32" t="str">
        <f>IF(ISBLANK('Control Entry'!F43),"",'Control Entry'!F43)</f>
        <v/>
      </c>
      <c r="F9" s="96" t="str">
        <f>IF(ISBLANK('Control Entry'!I43),"",'Control Entry'!I43)</f>
        <v/>
      </c>
      <c r="G9" s="97"/>
      <c r="H9" s="27" t="s">
        <v>29</v>
      </c>
      <c r="J9" s="15" t="s">
        <v>35</v>
      </c>
      <c r="K9" s="15"/>
      <c r="L9" s="152" t="s">
        <v>54</v>
      </c>
      <c r="M9" s="152"/>
      <c r="N9" s="152"/>
      <c r="O9" s="152"/>
      <c r="P9" s="152"/>
      <c r="Q9" s="152"/>
      <c r="R9" s="152"/>
      <c r="S9" s="152"/>
      <c r="T9" s="152"/>
      <c r="U9" s="152"/>
    </row>
    <row r="10" spans="1:22" ht="36" customHeight="1" thickBot="1" x14ac:dyDescent="0.3">
      <c r="A10" s="38" t="str">
        <f>IF(ISBLANK('Control Entry'!D43),"",'Control Entry'!D43)</f>
        <v/>
      </c>
      <c r="B10" s="39" t="str">
        <f>'Control Entry'!N43</f>
        <v/>
      </c>
      <c r="C10" s="39" t="str">
        <f>'Control Entry'!O43</f>
        <v/>
      </c>
      <c r="D10" s="40" t="str">
        <f>IF(ISBLANK('Control Entry'!E43),"",'Control Entry'!E43)</f>
        <v/>
      </c>
      <c r="E10" s="32" t="str">
        <f>IF(ISBLANK('Control Entry'!G43),"",'Control Entry'!G43)</f>
        <v/>
      </c>
      <c r="F10" s="96" t="str">
        <f>IF(ISBLANK('Control Entry'!J43),"",'Control Entry'!J43)</f>
        <v/>
      </c>
      <c r="G10" s="97"/>
      <c r="H10" s="27" t="s">
        <v>29</v>
      </c>
      <c r="J10" s="15"/>
      <c r="K10" s="15"/>
      <c r="L10" s="144"/>
      <c r="M10" s="144"/>
      <c r="N10" s="144"/>
      <c r="O10" s="144"/>
      <c r="P10" s="144"/>
      <c r="Q10" s="144"/>
      <c r="R10" s="144"/>
      <c r="S10" s="144"/>
      <c r="T10" s="144"/>
      <c r="U10" s="144"/>
    </row>
    <row r="11" spans="1:22" ht="36" customHeight="1" thickBot="1" x14ac:dyDescent="0.3">
      <c r="A11" s="33"/>
      <c r="B11" s="34" t="str">
        <f>'Control Entry'!N43</f>
        <v/>
      </c>
      <c r="C11" s="34" t="str">
        <f>'Control Entry'!O43</f>
        <v/>
      </c>
      <c r="D11" s="35"/>
      <c r="E11" s="36" t="str">
        <f>IF(ISBLANK('Control Entry'!H43),"",'Control Entry'!H43)</f>
        <v/>
      </c>
      <c r="F11" s="100" t="str">
        <f>IF(ISBLANK('Control Entry'!K43),"",'Control Entry'!K43)</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t="str">
        <f>'Control Entry'!N44</f>
        <v/>
      </c>
      <c r="C12" s="30" t="str">
        <f>'Control Entry'!O44</f>
        <v/>
      </c>
      <c r="D12" s="37"/>
      <c r="E12" s="32" t="str">
        <f>IF(ISBLANK('Control Entry'!F44),"",'Control Entry'!F44)</f>
        <v/>
      </c>
      <c r="F12" s="96" t="str">
        <f>IF(ISBLANK('Control Entry'!I44),"",'Control Entry'!I44)</f>
        <v/>
      </c>
      <c r="G12" s="97"/>
      <c r="H12" s="27" t="s">
        <v>29</v>
      </c>
      <c r="J12" s="15" t="s">
        <v>38</v>
      </c>
      <c r="K12" s="15"/>
      <c r="L12" s="144"/>
      <c r="M12" s="144"/>
      <c r="N12" s="144"/>
      <c r="O12" s="18"/>
      <c r="P12" s="18" t="s">
        <v>39</v>
      </c>
      <c r="Q12" s="18"/>
      <c r="R12" s="18"/>
      <c r="S12" s="131"/>
      <c r="T12" s="131"/>
      <c r="U12" s="131"/>
    </row>
    <row r="13" spans="1:22" ht="36" customHeight="1" thickBot="1" x14ac:dyDescent="0.3">
      <c r="A13" s="38" t="str">
        <f>IF(ISBLANK('Control Entry'!D44),"",'Control Entry'!D44)</f>
        <v/>
      </c>
      <c r="B13" s="39" t="str">
        <f>'Control Entry'!N44</f>
        <v/>
      </c>
      <c r="C13" s="39" t="str">
        <f>'Control Entry'!O44</f>
        <v/>
      </c>
      <c r="D13" s="40" t="str">
        <f>IF(ISBLANK('Control Entry'!E44),"",'Control Entry'!E44)</f>
        <v/>
      </c>
      <c r="E13" s="32" t="str">
        <f>IF(ISBLANK('Control Entry'!G44),"",'Control Entry'!G44)</f>
        <v/>
      </c>
      <c r="F13" s="96" t="str">
        <f>IF(ISBLANK('Control Entry'!J44),"",'Control Entry'!J44)</f>
        <v/>
      </c>
      <c r="G13" s="97"/>
      <c r="H13" s="27" t="s">
        <v>29</v>
      </c>
      <c r="J13" s="15" t="s">
        <v>40</v>
      </c>
      <c r="L13" s="155"/>
      <c r="M13" s="155"/>
      <c r="N13" s="155"/>
      <c r="O13" s="19"/>
      <c r="P13" s="18" t="s">
        <v>41</v>
      </c>
      <c r="Q13" s="18"/>
      <c r="R13" s="132"/>
      <c r="S13" s="132"/>
      <c r="T13" s="132"/>
      <c r="U13" s="132"/>
    </row>
    <row r="14" spans="1:22" ht="36" customHeight="1" thickBot="1" x14ac:dyDescent="0.25">
      <c r="A14" s="33"/>
      <c r="B14" s="34" t="str">
        <f>'Control Entry'!N44</f>
        <v/>
      </c>
      <c r="C14" s="34" t="str">
        <f>'Control Entry'!O44</f>
        <v/>
      </c>
      <c r="D14" s="35"/>
      <c r="E14" s="36" t="str">
        <f>IF(ISBLANK('Control Entry'!H44),"",'Control Entry'!H44)</f>
        <v/>
      </c>
      <c r="F14" s="100" t="str">
        <f>IF(ISBLANK('Control Entry'!K44),"",'Control Entry'!K44)</f>
        <v/>
      </c>
      <c r="G14" s="99"/>
      <c r="H14" s="27" t="s">
        <v>29</v>
      </c>
    </row>
    <row r="15" spans="1:22" ht="36" customHeight="1" x14ac:dyDescent="0.2">
      <c r="A15" s="29"/>
      <c r="B15" s="30" t="str">
        <f>'Control Entry'!N45</f>
        <v/>
      </c>
      <c r="C15" s="30" t="str">
        <f>'Control Entry'!O45</f>
        <v/>
      </c>
      <c r="D15" s="37"/>
      <c r="E15" s="32" t="str">
        <f>IF(ISBLANK('Control Entry'!F45),"",'Control Entry'!F45)</f>
        <v/>
      </c>
      <c r="F15" s="96" t="str">
        <f>IF(ISBLANK('Control Entry'!I45),"",'Control Entry'!I45)</f>
        <v/>
      </c>
      <c r="G15" s="97"/>
      <c r="H15" s="27" t="s">
        <v>29</v>
      </c>
      <c r="J15" s="15"/>
      <c r="L15" s="149" t="s">
        <v>58</v>
      </c>
      <c r="M15" s="149"/>
      <c r="N15" s="149"/>
      <c r="O15" s="149"/>
      <c r="P15" s="149"/>
      <c r="Q15" s="149"/>
      <c r="R15" s="149"/>
      <c r="S15" s="149"/>
      <c r="T15" s="149"/>
      <c r="U15" s="149"/>
    </row>
    <row r="16" spans="1:22" ht="36" customHeight="1" thickBot="1" x14ac:dyDescent="0.25">
      <c r="A16" s="38" t="str">
        <f>IF(ISBLANK('Control Entry'!D45),"",'Control Entry'!D45)</f>
        <v/>
      </c>
      <c r="B16" s="39" t="str">
        <f>'Control Entry'!N45</f>
        <v/>
      </c>
      <c r="C16" s="39" t="str">
        <f>'Control Entry'!O45</f>
        <v/>
      </c>
      <c r="D16" s="40" t="str">
        <f>IF(ISBLANK('Control Entry'!E45),"",'Control Entry'!E45)</f>
        <v/>
      </c>
      <c r="E16" s="32" t="str">
        <f>IF(ISBLANK('Control Entry'!G45),"",'Control Entry'!G45)</f>
        <v/>
      </c>
      <c r="F16" s="96" t="str">
        <f>IF(ISBLANK('Control Entry'!J45),"",'Control Entry'!J45)</f>
        <v/>
      </c>
      <c r="G16" s="97"/>
      <c r="H16" s="27" t="s">
        <v>29</v>
      </c>
      <c r="L16" s="158"/>
      <c r="M16" s="158"/>
      <c r="N16" s="158"/>
      <c r="O16" s="158"/>
      <c r="P16" s="158"/>
      <c r="Q16" s="158"/>
      <c r="R16" s="158"/>
      <c r="S16" s="158"/>
      <c r="T16" s="158"/>
      <c r="U16" s="158"/>
    </row>
    <row r="17" spans="1:22" ht="36" customHeight="1" thickBot="1" x14ac:dyDescent="0.25">
      <c r="A17" s="33"/>
      <c r="B17" s="34" t="str">
        <f>'Control Entry'!N45</f>
        <v/>
      </c>
      <c r="C17" s="34" t="str">
        <f>'Control Entry'!O45</f>
        <v/>
      </c>
      <c r="D17" s="35"/>
      <c r="E17" s="36" t="str">
        <f>IF(ISBLANK('Control Entry'!H45),"",'Control Entry'!H45)</f>
        <v/>
      </c>
      <c r="F17" s="100" t="str">
        <f>IF(ISBLANK('Control Entry'!K45),"",'Control Entry'!K45)</f>
        <v/>
      </c>
      <c r="G17" s="99"/>
      <c r="H17" s="27" t="s">
        <v>29</v>
      </c>
    </row>
    <row r="18" spans="1:22" ht="36" customHeight="1" x14ac:dyDescent="0.2">
      <c r="A18" s="29"/>
      <c r="B18" s="30" t="str">
        <f>'Control Entry'!N46</f>
        <v/>
      </c>
      <c r="C18" s="30" t="str">
        <f>'Control Entry'!O46</f>
        <v/>
      </c>
      <c r="D18" s="37"/>
      <c r="E18" s="32" t="str">
        <f>IF(ISBLANK('Control Entry'!F46),"",'Control Entry'!F46)</f>
        <v/>
      </c>
      <c r="F18" s="96" t="str">
        <f>IF(ISBLANK('Control Entry'!I46),"",'Control Entry'!I46)</f>
        <v/>
      </c>
      <c r="G18" s="97"/>
      <c r="H18" s="27" t="s">
        <v>29</v>
      </c>
    </row>
    <row r="19" spans="1:22" ht="36" customHeight="1" x14ac:dyDescent="0.2">
      <c r="A19" s="38" t="str">
        <f>IF(ISBLANK('Control Entry'!D46),"",'Control Entry'!D46)</f>
        <v/>
      </c>
      <c r="B19" s="39" t="str">
        <f>'Control Entry'!N46</f>
        <v/>
      </c>
      <c r="C19" s="39" t="str">
        <f>'Control Entry'!O46</f>
        <v/>
      </c>
      <c r="D19" s="40" t="str">
        <f>IF(ISBLANK('Control Entry'!E46),"",'Control Entry'!E46)</f>
        <v/>
      </c>
      <c r="E19" s="32" t="str">
        <f>IF(ISBLANK('Control Entry'!G46),"",'Control Entry'!G46)</f>
        <v/>
      </c>
      <c r="F19" s="96" t="str">
        <f>IF(ISBLANK('Control Entry'!J46),"",'Control Entry'!J46)</f>
        <v/>
      </c>
      <c r="G19" s="97"/>
      <c r="H19" s="27" t="s">
        <v>29</v>
      </c>
    </row>
    <row r="20" spans="1:22" ht="36" customHeight="1" thickBot="1" x14ac:dyDescent="0.25">
      <c r="A20" s="33"/>
      <c r="B20" s="34" t="str">
        <f>'Control Entry'!N46</f>
        <v/>
      </c>
      <c r="C20" s="34" t="str">
        <f>'Control Entry'!O46</f>
        <v/>
      </c>
      <c r="D20" s="35"/>
      <c r="E20" s="36" t="str">
        <f>IF(ISBLANK('Control Entry'!H46),"",'Control Entry'!H46)</f>
        <v/>
      </c>
      <c r="F20" s="100" t="str">
        <f>IF(ISBLANK('Control Entry'!K46),"",'Control Entry'!K46)</f>
        <v/>
      </c>
      <c r="G20" s="99"/>
      <c r="H20" s="27" t="s">
        <v>29</v>
      </c>
      <c r="J20" s="59" t="s">
        <v>44</v>
      </c>
      <c r="K20" s="59"/>
      <c r="L20" s="143">
        <f>IF(ISBLANK('Control Entry'!B12),"",'Control Entry'!B12)</f>
        <v>44758</v>
      </c>
      <c r="M20" s="143"/>
      <c r="N20" s="143"/>
      <c r="P20" s="18" t="s">
        <v>0</v>
      </c>
      <c r="Q20" s="18"/>
      <c r="S20" s="148">
        <f>IF(ISBLANK('Control Entry'!B13),"",'Control Entry'!B13)</f>
        <v>0.25</v>
      </c>
      <c r="T20" s="148"/>
      <c r="U20" s="148"/>
    </row>
    <row r="21" spans="1:22" ht="36" customHeight="1" x14ac:dyDescent="0.2">
      <c r="A21" s="29"/>
      <c r="B21" s="30" t="str">
        <f>'Control Entry'!N47</f>
        <v/>
      </c>
      <c r="C21" s="30" t="str">
        <f>'Control Entry'!O47</f>
        <v/>
      </c>
      <c r="D21" s="37"/>
      <c r="E21" s="32" t="str">
        <f>IF(ISBLANK('Control Entry'!F47),"",'Control Entry'!F47)</f>
        <v/>
      </c>
      <c r="F21" s="96" t="str">
        <f>IF(ISBLANK('Control Entry'!I47),"",'Control Entry'!I47)</f>
        <v/>
      </c>
      <c r="G21" s="97"/>
      <c r="H21" s="27" t="s">
        <v>29</v>
      </c>
      <c r="J21" s="157" t="s">
        <v>90</v>
      </c>
      <c r="K21" s="157"/>
      <c r="L21" s="157"/>
      <c r="M21" s="157"/>
      <c r="N21" s="157"/>
      <c r="O21" s="157"/>
      <c r="P21" s="157"/>
      <c r="Q21" s="157"/>
      <c r="R21" s="157"/>
      <c r="S21" s="157"/>
      <c r="T21" s="157"/>
      <c r="U21" s="157"/>
      <c r="V21" s="28"/>
    </row>
    <row r="22" spans="1:22" ht="36" customHeight="1" thickBot="1" x14ac:dyDescent="0.25">
      <c r="A22" s="38" t="str">
        <f>IF(ISBLANK('Control Entry'!D47),"",'Control Entry'!D47)</f>
        <v/>
      </c>
      <c r="B22" s="39" t="str">
        <f>'Control Entry'!N47</f>
        <v/>
      </c>
      <c r="C22" s="39" t="str">
        <f>'Control Entry'!O47</f>
        <v/>
      </c>
      <c r="D22" s="40" t="str">
        <f>IF(ISBLANK('Control Entry'!E47),"",'Control Entry'!E47)</f>
        <v/>
      </c>
      <c r="E22" s="32" t="str">
        <f>IF(ISBLANK('Control Entry'!G47),"",'Control Entry'!G47)</f>
        <v/>
      </c>
      <c r="F22" s="96" t="str">
        <f>IF(ISBLANK('Control Entry'!J47),"",'Control Entry'!J47)</f>
        <v/>
      </c>
      <c r="G22" s="97"/>
      <c r="H22" s="27" t="s">
        <v>29</v>
      </c>
      <c r="J22" s="81" t="s">
        <v>45</v>
      </c>
      <c r="K22" s="81"/>
      <c r="L22" s="101"/>
      <c r="M22" s="101"/>
      <c r="N22" s="101"/>
      <c r="O22" s="19"/>
      <c r="P22" s="18" t="s">
        <v>1</v>
      </c>
      <c r="Q22" s="18"/>
      <c r="R22" s="19"/>
      <c r="S22" s="151"/>
      <c r="T22" s="151"/>
      <c r="U22" s="151"/>
    </row>
    <row r="23" spans="1:22" ht="36" customHeight="1" thickBot="1" x14ac:dyDescent="0.25">
      <c r="A23" s="33"/>
      <c r="B23" s="34" t="str">
        <f>'Control Entry'!N47</f>
        <v/>
      </c>
      <c r="C23" s="34" t="str">
        <f>'Control Entry'!O47</f>
        <v/>
      </c>
      <c r="D23" s="35"/>
      <c r="E23" s="36" t="str">
        <f>IF(ISBLANK('Control Entry'!H47),"",'Control Entry'!H47)</f>
        <v/>
      </c>
      <c r="F23" s="100" t="str">
        <f>IF(ISBLANK('Control Entry'!K47),"",'Control Entry'!K47)</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Entry'!N48</f>
        <v/>
      </c>
      <c r="C24" s="30" t="str">
        <f>'Control Entry'!O48</f>
        <v/>
      </c>
      <c r="D24" s="37"/>
      <c r="E24" s="32" t="str">
        <f>IF(ISBLANK('Control Entry'!F48),"",'Control Entry'!F48)</f>
        <v/>
      </c>
      <c r="F24" s="96" t="str">
        <f>IF(ISBLANK('Control Entry'!I48),"",'Control Entry'!I48)</f>
        <v/>
      </c>
      <c r="G24" s="97"/>
      <c r="H24" s="27" t="s">
        <v>29</v>
      </c>
      <c r="J24" s="151"/>
      <c r="K24" s="151"/>
      <c r="L24" s="151"/>
      <c r="M24" s="151"/>
      <c r="N24" s="151"/>
      <c r="O24" s="19"/>
      <c r="P24" s="18" t="s">
        <v>2</v>
      </c>
      <c r="Q24" s="18"/>
      <c r="R24" s="19"/>
      <c r="S24" s="151"/>
      <c r="T24" s="151"/>
      <c r="U24" s="151"/>
    </row>
    <row r="25" spans="1:22" ht="36" customHeight="1" x14ac:dyDescent="0.2">
      <c r="A25" s="38" t="str">
        <f>IF(ISBLANK('Control Entry'!D48),"",'Control Entry'!D48)</f>
        <v/>
      </c>
      <c r="B25" s="39" t="str">
        <f>'Control Entry'!N48</f>
        <v/>
      </c>
      <c r="C25" s="39" t="str">
        <f>'Control Entry'!O48</f>
        <v/>
      </c>
      <c r="D25" s="40" t="str">
        <f>IF(ISBLANK('Control Entry'!E48),"",'Control Entry'!E48)</f>
        <v/>
      </c>
      <c r="E25" s="32" t="str">
        <f>IF(ISBLANK('Control Entry'!G48),"",'Control Entry'!G48)</f>
        <v/>
      </c>
      <c r="F25" s="96" t="str">
        <f>IF(ISBLANK('Control Entry'!J48),"",'Control Entry'!J48)</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t="str">
        <f>'Control Entry'!N48</f>
        <v/>
      </c>
      <c r="C26" s="34" t="str">
        <f>'Control Entry'!O48</f>
        <v/>
      </c>
      <c r="D26" s="35"/>
      <c r="E26" s="36" t="str">
        <f>IF(ISBLANK('Control Entry'!H48),"",'Control Entry'!H48)</f>
        <v/>
      </c>
      <c r="F26" s="100" t="str">
        <f>IF(ISBLANK('Control Entry'!K48),"",'Control Entry'!K48)</f>
        <v/>
      </c>
      <c r="G26" s="99"/>
      <c r="H26" s="27" t="s">
        <v>29</v>
      </c>
    </row>
    <row r="27" spans="1:22" ht="36" customHeight="1" x14ac:dyDescent="0.2">
      <c r="A27" s="29"/>
      <c r="B27" s="30" t="str">
        <f>'Control Entry'!N49</f>
        <v/>
      </c>
      <c r="C27" s="30" t="str">
        <f>'Control Entry'!O49</f>
        <v/>
      </c>
      <c r="D27" s="37"/>
      <c r="E27" s="32" t="str">
        <f>IF(ISBLANK('Control Entry'!F49),"",'Control Entry'!F49)</f>
        <v/>
      </c>
      <c r="F27" s="96" t="str">
        <f>IF(ISBLANK('Control Entry'!I49),"",'Control Entry'!I49)</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IF(ISBLANK('Control Entry'!D49),"",'Control Entry'!D49)</f>
        <v/>
      </c>
      <c r="B28" s="39" t="str">
        <f>'Control Entry'!N49</f>
        <v/>
      </c>
      <c r="C28" s="39" t="str">
        <f>'Control Entry'!O49</f>
        <v/>
      </c>
      <c r="D28" s="40" t="str">
        <f>IF(ISBLANK('Control Entry'!E49),"",'Control Entry'!E49)</f>
        <v/>
      </c>
      <c r="E28" s="32" t="str">
        <f>IF(ISBLANK('Control Entry'!G49),"",'Control Entry'!G49)</f>
        <v/>
      </c>
      <c r="F28" s="96" t="str">
        <f>IF(ISBLANK('Control Entry'!J49),"",'Control Entry'!J49)</f>
        <v/>
      </c>
      <c r="G28" s="97"/>
      <c r="H28" s="27" t="s">
        <v>29</v>
      </c>
    </row>
    <row r="29" spans="1:22" ht="36" customHeight="1" thickBot="1" x14ac:dyDescent="0.25">
      <c r="A29" s="33"/>
      <c r="B29" s="34" t="str">
        <f>'Control Entry'!N49</f>
        <v/>
      </c>
      <c r="C29" s="34" t="str">
        <f>'Control Entry'!O49</f>
        <v/>
      </c>
      <c r="D29" s="35"/>
      <c r="E29" s="36" t="str">
        <f>IF(ISBLANK('Control Entry'!H49),"",'Control Entry'!H49)</f>
        <v/>
      </c>
      <c r="F29" s="100" t="str">
        <f>IF(ISBLANK('Control Entry'!K49),"",'Control Entry'!K49)</f>
        <v/>
      </c>
      <c r="G29" s="99"/>
      <c r="H29" s="27" t="s">
        <v>29</v>
      </c>
      <c r="M29" s="122" t="s">
        <v>42</v>
      </c>
      <c r="N29" s="122"/>
      <c r="O29" s="122"/>
      <c r="P29" s="122"/>
      <c r="Q29" s="122"/>
      <c r="R29" s="122"/>
      <c r="S29" s="122"/>
      <c r="T29" s="122"/>
      <c r="U29" s="54"/>
    </row>
    <row r="30" spans="1:22" ht="36" customHeight="1" x14ac:dyDescent="0.2">
      <c r="A30" s="29"/>
      <c r="B30" s="30" t="str">
        <f>'Control Entry'!N50</f>
        <v/>
      </c>
      <c r="C30" s="30" t="str">
        <f>'Control Entry'!O50</f>
        <v/>
      </c>
      <c r="D30" s="37"/>
      <c r="E30" s="32" t="str">
        <f>IF(ISBLANK('Control Entry'!F50),"",'Control Entry'!F50)</f>
        <v/>
      </c>
      <c r="F30" s="96" t="str">
        <f>IF(ISBLANK('Control Entry'!I50),"",'Control Entry'!I50)</f>
        <v/>
      </c>
      <c r="G30" s="97"/>
      <c r="H30" s="27" t="s">
        <v>29</v>
      </c>
      <c r="M30" s="16"/>
      <c r="N30" s="20"/>
      <c r="O30" s="20"/>
      <c r="P30" s="21"/>
      <c r="Q30" s="102"/>
      <c r="R30" s="20"/>
      <c r="S30" s="20"/>
      <c r="T30" s="21"/>
      <c r="U30" s="22"/>
    </row>
    <row r="31" spans="1:22" ht="36" customHeight="1" x14ac:dyDescent="0.2">
      <c r="A31" s="38" t="str">
        <f>IF(ISBLANK('Control Entry'!D50),"",'Control Entry'!D50)</f>
        <v/>
      </c>
      <c r="B31" s="39" t="str">
        <f>'Control Entry'!N50</f>
        <v/>
      </c>
      <c r="C31" s="39" t="str">
        <f>'Control Entry'!O50</f>
        <v/>
      </c>
      <c r="D31" s="40" t="str">
        <f>IF(ISBLANK('Control Entry'!E50),"",'Control Entry'!E50)</f>
        <v/>
      </c>
      <c r="E31" s="32" t="str">
        <f>IF(ISBLANK('Control Entry'!G50),"",'Control Entry'!G50)</f>
        <v/>
      </c>
      <c r="F31" s="96" t="str">
        <f>IF(ISBLANK('Control Entry'!J50),"",'Control Entry'!J50)</f>
        <v/>
      </c>
      <c r="G31" s="97"/>
      <c r="H31" s="27" t="s">
        <v>29</v>
      </c>
      <c r="M31" s="17"/>
      <c r="N31" s="22"/>
      <c r="O31" s="22"/>
      <c r="P31" s="23"/>
      <c r="Q31" s="103"/>
      <c r="R31" s="22"/>
      <c r="S31" s="22"/>
      <c r="T31" s="23"/>
      <c r="U31" s="22"/>
    </row>
    <row r="32" spans="1:22" ht="36" customHeight="1" thickBot="1" x14ac:dyDescent="0.25">
      <c r="A32" s="33"/>
      <c r="B32" s="34" t="str">
        <f>'Control Entry'!N50</f>
        <v/>
      </c>
      <c r="C32" s="34" t="str">
        <f>'Control Entry'!O50</f>
        <v/>
      </c>
      <c r="D32" s="35"/>
      <c r="E32" s="36" t="str">
        <f>IF(ISBLANK('Control Entry'!H50),"",'Control Entry'!H50)</f>
        <v/>
      </c>
      <c r="F32" s="100" t="str">
        <f>IF(ISBLANK('Control Entry'!K50),"",'Control Entry'!K50)</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44745</v>
      </c>
      <c r="R33" s="127"/>
      <c r="S33" s="127"/>
      <c r="T33" s="127"/>
      <c r="U33" s="91"/>
      <c r="V33" s="57"/>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n04OlOPypxKiXZHfTF7SZ14P8gX/OWk/qktZJUCZqh+6Nv8BjLLr9UXJBNwuWtsY5jnC73Xiuu+JFtcLWZMoiA==" saltValue="FabpdyB7wrMR7nA5d9noMA==" spinCount="100000" sheet="1" objects="1" scenarios="1" formatCells="0" selectLockedCells="1"/>
  <mergeCells count="41">
    <mergeCell ref="S22:U22"/>
    <mergeCell ref="J24:N24"/>
    <mergeCell ref="S24:U24"/>
    <mergeCell ref="S11:U11"/>
    <mergeCell ref="L12:N12"/>
    <mergeCell ref="S12:U12"/>
    <mergeCell ref="L13:N13"/>
    <mergeCell ref="R13:U13"/>
    <mergeCell ref="J21:U21"/>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M32:P32"/>
    <mergeCell ref="Q32:T32"/>
    <mergeCell ref="A1:G1"/>
    <mergeCell ref="K2:U2"/>
    <mergeCell ref="M4:T4"/>
    <mergeCell ref="N5:O5"/>
    <mergeCell ref="R5:U5"/>
    <mergeCell ref="O3:R3"/>
    <mergeCell ref="L6:U6"/>
    <mergeCell ref="L8:Q8"/>
    <mergeCell ref="T8:U8"/>
    <mergeCell ref="L15:U15"/>
    <mergeCell ref="S20:U20"/>
    <mergeCell ref="L9:U9"/>
    <mergeCell ref="L10:U10"/>
    <mergeCell ref="L11:N11"/>
    <mergeCell ref="L16:U16"/>
  </mergeCells>
  <conditionalFormatting sqref="P22:U24">
    <cfRule type="expression" dxfId="10" priority="4">
      <formula>$S$3="#3"</formula>
    </cfRule>
  </conditionalFormatting>
  <conditionalFormatting sqref="J22:N22">
    <cfRule type="expression" dxfId="9" priority="3">
      <formula>$S$3="#3"</formula>
    </cfRule>
  </conditionalFormatting>
  <conditionalFormatting sqref="K27:V27">
    <cfRule type="expression" dxfId="8" priority="2">
      <formula>$S$3="#3"</formula>
    </cfRule>
  </conditionalFormatting>
  <conditionalFormatting sqref="J21:U21">
    <cfRule type="expression" dxfId="7" priority="1">
      <formula>$S$3&lt;&gt;"#3"</formula>
    </cfRule>
  </conditionalFormatting>
  <printOptions horizontalCentered="1" verticalCentered="1"/>
  <pageMargins left="0.2" right="0.2" top="0.2" bottom="0.2" header="0.51" footer="0.51"/>
  <pageSetup scale="45" orientation="landscape" horizontalDpi="4294967292" verticalDpi="4294967292"/>
  <ignoredErrors>
    <ignoredError sqref="L20" unlocked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6F177-8884-5D4F-9CF4-14229878B446}">
  <sheetPr>
    <pageSetUpPr fitToPage="1"/>
  </sheetPr>
  <dimension ref="A1:V40"/>
  <sheetViews>
    <sheetView showGridLines="0" zoomScale="92" zoomScaleNormal="92" zoomScalePageLayoutView="92" workbookViewId="0">
      <selection activeCell="L8" sqref="L8:Q8"/>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74</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t="str">
        <f>'Control Entry'!N54</f>
        <v/>
      </c>
      <c r="C3" s="30" t="str">
        <f>'Control Entry'!O54</f>
        <v/>
      </c>
      <c r="D3" s="31"/>
      <c r="E3" s="32" t="str">
        <f>IF(ISBLANK('Control Entry'!F54),"",'Control Entry'!F54)</f>
        <v/>
      </c>
      <c r="F3" s="96" t="str">
        <f>IF(ISBLANK('Control Entry'!I54),"",'Control Entry'!I54)</f>
        <v/>
      </c>
      <c r="G3" s="97"/>
      <c r="H3" s="27" t="s">
        <v>29</v>
      </c>
      <c r="K3" s="14"/>
      <c r="O3" s="147" t="s">
        <v>73</v>
      </c>
      <c r="P3" s="147"/>
      <c r="Q3" s="147"/>
      <c r="R3" s="147"/>
      <c r="S3" s="85" t="str">
        <f>IF(AND('Control Entry'!D41=0,'Control Entry'!D54&lt;&gt;0),"#2",IF('Control Entry'!D54=0,"","#4"))</f>
        <v/>
      </c>
      <c r="T3" s="86"/>
      <c r="U3" s="42"/>
    </row>
    <row r="4" spans="1:22" ht="36" customHeight="1" x14ac:dyDescent="0.2">
      <c r="A4" s="38" t="str">
        <f>IF(ISBLANK('Control Entry'!D54),"",'Control Entry'!D54)</f>
        <v/>
      </c>
      <c r="B4" s="39" t="str">
        <f>'Control Entry'!N54</f>
        <v/>
      </c>
      <c r="C4" s="39" t="str">
        <f>'Control Entry'!O54</f>
        <v/>
      </c>
      <c r="D4" s="40" t="str">
        <f>IF(ISBLANK('Control Entry'!E54),"",'Control Entry'!E54)</f>
        <v/>
      </c>
      <c r="E4" s="32" t="str">
        <f>IF(ISBLANK('Control Entry'!G54),"",'Control Entry'!G54)</f>
        <v/>
      </c>
      <c r="F4" s="96" t="str">
        <f>IF(ISBLANK('Control Entry'!J54),"",'Control Entry'!J54)</f>
        <v/>
      </c>
      <c r="G4" s="97"/>
      <c r="H4" s="27" t="s">
        <v>29</v>
      </c>
      <c r="K4" s="14"/>
      <c r="M4" s="130" t="str">
        <f>IF(ISBLANK(brevet),"",brevet&amp;" km Randonnée")</f>
        <v>600 km Randonnée</v>
      </c>
      <c r="N4" s="130"/>
      <c r="O4" s="130"/>
      <c r="P4" s="130"/>
      <c r="Q4" s="130"/>
      <c r="R4" s="130"/>
      <c r="S4" s="130"/>
      <c r="T4" s="130"/>
      <c r="U4" s="43"/>
    </row>
    <row r="5" spans="1:22" ht="36" customHeight="1" thickBot="1" x14ac:dyDescent="0.25">
      <c r="A5" s="33"/>
      <c r="B5" s="34" t="str">
        <f>'Control Entry'!N54</f>
        <v/>
      </c>
      <c r="C5" s="34" t="str">
        <f>'Control Entry'!O54</f>
        <v/>
      </c>
      <c r="D5" s="35"/>
      <c r="E5" s="36" t="str">
        <f>IF(ISBLANK('Control Entry'!H54),"",'Control Entry'!H54)</f>
        <v/>
      </c>
      <c r="F5" s="100" t="str">
        <f>IF(ISBLANK('Control Entry'!K54),"",'Control Entry'!K54)</f>
        <v/>
      </c>
      <c r="G5" s="99"/>
      <c r="H5" s="27" t="s">
        <v>29</v>
      </c>
      <c r="K5" s="14"/>
      <c r="M5" s="15"/>
      <c r="N5" s="145" t="s">
        <v>47</v>
      </c>
      <c r="O5" s="145"/>
      <c r="P5" s="61">
        <f>IF(ISBLANK(Brevet_Number),"",Brevet_Number)</f>
        <v>5161</v>
      </c>
      <c r="Q5" s="62"/>
      <c r="R5" s="133">
        <f>IF(ISBLANK('Control Entry'!$B10),"",'Control Entry'!$B10)</f>
        <v>44758</v>
      </c>
      <c r="S5" s="133"/>
      <c r="T5" s="133"/>
      <c r="U5" s="133"/>
      <c r="V5" s="44"/>
    </row>
    <row r="6" spans="1:22" ht="36" customHeight="1" x14ac:dyDescent="0.2">
      <c r="A6" s="29"/>
      <c r="B6" s="30" t="str">
        <f>'Control Entry'!N55</f>
        <v/>
      </c>
      <c r="C6" s="30" t="str">
        <f>'Control Entry'!O55</f>
        <v/>
      </c>
      <c r="D6" s="37"/>
      <c r="E6" s="32" t="str">
        <f>IF(ISBLANK('Control Entry'!F55),"",'Control Entry'!F55)</f>
        <v/>
      </c>
      <c r="F6" s="96" t="str">
        <f>IF(ISBLANK('Control Entry'!I55),"",'Control Entry'!I55)</f>
        <v/>
      </c>
      <c r="G6" s="97"/>
      <c r="H6" s="27" t="s">
        <v>29</v>
      </c>
      <c r="K6" s="14"/>
      <c r="L6" s="150" t="str">
        <f>IF(ISBLANK(Brevet_Description),"",Brevet_Description)</f>
        <v>Hats Off East Coaster</v>
      </c>
      <c r="M6" s="150"/>
      <c r="N6" s="150"/>
      <c r="O6" s="150"/>
      <c r="P6" s="150"/>
      <c r="Q6" s="150"/>
      <c r="R6" s="150"/>
      <c r="S6" s="150"/>
      <c r="T6" s="150"/>
      <c r="U6" s="150"/>
    </row>
    <row r="7" spans="1:22" ht="36" customHeight="1" x14ac:dyDescent="0.2">
      <c r="A7" s="38" t="str">
        <f>IF(ISBLANK('Control Entry'!D55),"",'Control Entry'!D55)</f>
        <v/>
      </c>
      <c r="B7" s="39" t="str">
        <f>'Control Entry'!N55</f>
        <v/>
      </c>
      <c r="C7" s="39" t="str">
        <f>'Control Entry'!O55</f>
        <v/>
      </c>
      <c r="D7" s="40" t="str">
        <f>IF(ISBLANK('Control Entry'!E55),"",'Control Entry'!E55)</f>
        <v/>
      </c>
      <c r="E7" s="32" t="str">
        <f>IF(ISBLANK('Control Entry'!G55),"",'Control Entry'!G55)</f>
        <v/>
      </c>
      <c r="F7" s="96" t="str">
        <f>IF(ISBLANK('Control Entry'!J55),"",'Control Entry'!J55)</f>
        <v/>
      </c>
      <c r="G7" s="97"/>
      <c r="H7" s="27" t="s">
        <v>29</v>
      </c>
    </row>
    <row r="8" spans="1:22" ht="36" customHeight="1" thickBot="1" x14ac:dyDescent="0.25">
      <c r="A8" s="33"/>
      <c r="B8" s="34" t="str">
        <f>'Control Entry'!N55</f>
        <v/>
      </c>
      <c r="C8" s="34" t="str">
        <f>'Control Entry'!O55</f>
        <v/>
      </c>
      <c r="D8" s="35"/>
      <c r="E8" s="36" t="str">
        <f>IF(ISBLANK('Control Entry'!H55),"",'Control Entry'!H55)</f>
        <v/>
      </c>
      <c r="F8" s="100" t="str">
        <f>IF(ISBLANK('Control Entry'!K55),"",'Control Entry'!K55)</f>
        <v/>
      </c>
      <c r="G8" s="99"/>
      <c r="H8" s="27" t="s">
        <v>29</v>
      </c>
      <c r="J8" s="15" t="s">
        <v>34</v>
      </c>
      <c r="L8" s="135"/>
      <c r="M8" s="135"/>
      <c r="N8" s="135"/>
      <c r="O8" s="135"/>
      <c r="P8" s="135"/>
      <c r="Q8" s="135"/>
      <c r="R8" s="28"/>
      <c r="S8" s="45" t="s">
        <v>46</v>
      </c>
      <c r="T8" s="142"/>
      <c r="U8" s="142"/>
    </row>
    <row r="9" spans="1:22" ht="36" customHeight="1" thickBot="1" x14ac:dyDescent="0.3">
      <c r="A9" s="29"/>
      <c r="B9" s="30" t="str">
        <f>'Control Entry'!N56</f>
        <v/>
      </c>
      <c r="C9" s="30" t="str">
        <f>'Control Entry'!O56</f>
        <v/>
      </c>
      <c r="D9" s="37"/>
      <c r="E9" s="32" t="str">
        <f>IF(ISBLANK('Control Entry'!F56),"",'Control Entry'!F56)</f>
        <v/>
      </c>
      <c r="F9" s="96" t="str">
        <f>IF(ISBLANK('Control Entry'!I56),"",'Control Entry'!I56)</f>
        <v/>
      </c>
      <c r="G9" s="97"/>
      <c r="H9" s="27" t="s">
        <v>29</v>
      </c>
      <c r="J9" s="15" t="s">
        <v>35</v>
      </c>
      <c r="K9" s="15"/>
      <c r="L9" s="152" t="s">
        <v>54</v>
      </c>
      <c r="M9" s="152"/>
      <c r="N9" s="152"/>
      <c r="O9" s="152"/>
      <c r="P9" s="152"/>
      <c r="Q9" s="152"/>
      <c r="R9" s="152"/>
      <c r="S9" s="152"/>
      <c r="T9" s="152"/>
      <c r="U9" s="152"/>
    </row>
    <row r="10" spans="1:22" ht="36" customHeight="1" thickBot="1" x14ac:dyDescent="0.3">
      <c r="A10" s="38" t="str">
        <f>IF(ISBLANK('Control Entry'!D56),"",'Control Entry'!D56)</f>
        <v/>
      </c>
      <c r="B10" s="39" t="str">
        <f>'Control Entry'!N56</f>
        <v/>
      </c>
      <c r="C10" s="39" t="str">
        <f>'Control Entry'!O56</f>
        <v/>
      </c>
      <c r="D10" s="40" t="str">
        <f>IF(ISBLANK('Control Entry'!E56),"",'Control Entry'!E56)</f>
        <v/>
      </c>
      <c r="E10" s="32" t="str">
        <f>IF(ISBLANK('Control Entry'!G56),"",'Control Entry'!G56)</f>
        <v/>
      </c>
      <c r="F10" s="96" t="str">
        <f>IF(ISBLANK('Control Entry'!J56),"",'Control Entry'!J56)</f>
        <v/>
      </c>
      <c r="G10" s="97"/>
      <c r="H10" s="27" t="s">
        <v>29</v>
      </c>
      <c r="J10" s="15"/>
      <c r="K10" s="15"/>
      <c r="L10" s="144"/>
      <c r="M10" s="144"/>
      <c r="N10" s="144"/>
      <c r="O10" s="144"/>
      <c r="P10" s="144"/>
      <c r="Q10" s="144"/>
      <c r="R10" s="144"/>
      <c r="S10" s="144"/>
      <c r="T10" s="144"/>
      <c r="U10" s="144"/>
    </row>
    <row r="11" spans="1:22" ht="36" customHeight="1" thickBot="1" x14ac:dyDescent="0.3">
      <c r="A11" s="33"/>
      <c r="B11" s="34" t="str">
        <f>'Control Entry'!N56</f>
        <v/>
      </c>
      <c r="C11" s="34" t="str">
        <f>'Control Entry'!O56</f>
        <v/>
      </c>
      <c r="D11" s="35"/>
      <c r="E11" s="36" t="str">
        <f>IF(ISBLANK('Control Entry'!H56),"",'Control Entry'!H56)</f>
        <v/>
      </c>
      <c r="F11" s="100" t="str">
        <f>IF(ISBLANK('Control Entry'!K56),"",'Control Entry'!K56)</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t="str">
        <f>'Control Entry'!N57</f>
        <v/>
      </c>
      <c r="C12" s="30" t="str">
        <f>'Control Entry'!O57</f>
        <v/>
      </c>
      <c r="D12" s="37"/>
      <c r="E12" s="32" t="str">
        <f>IF(ISBLANK('Control Entry'!F57),"",'Control Entry'!F57)</f>
        <v/>
      </c>
      <c r="F12" s="96" t="str">
        <f>IF(ISBLANK('Control Entry'!I57),"",'Control Entry'!I57)</f>
        <v/>
      </c>
      <c r="G12" s="97"/>
      <c r="H12" s="27" t="s">
        <v>29</v>
      </c>
      <c r="J12" s="15" t="s">
        <v>38</v>
      </c>
      <c r="K12" s="15"/>
      <c r="L12" s="144"/>
      <c r="M12" s="144"/>
      <c r="N12" s="144"/>
      <c r="O12" s="18"/>
      <c r="P12" s="18" t="s">
        <v>39</v>
      </c>
      <c r="Q12" s="18"/>
      <c r="R12" s="18"/>
      <c r="S12" s="131"/>
      <c r="T12" s="131"/>
      <c r="U12" s="131"/>
    </row>
    <row r="13" spans="1:22" ht="36" customHeight="1" thickBot="1" x14ac:dyDescent="0.3">
      <c r="A13" s="38" t="str">
        <f>IF(ISBLANK('Control Entry'!D57),"",'Control Entry'!D57)</f>
        <v/>
      </c>
      <c r="B13" s="39" t="str">
        <f>'Control Entry'!N57</f>
        <v/>
      </c>
      <c r="C13" s="39" t="str">
        <f>'Control Entry'!O57</f>
        <v/>
      </c>
      <c r="D13" s="40" t="str">
        <f>IF(ISBLANK('Control Entry'!E57),"",'Control Entry'!E57)</f>
        <v/>
      </c>
      <c r="E13" s="32" t="str">
        <f>IF(ISBLANK('Control Entry'!G57),"",'Control Entry'!G57)</f>
        <v/>
      </c>
      <c r="F13" s="96" t="str">
        <f>IF(ISBLANK('Control Entry'!J57),"",'Control Entry'!J57)</f>
        <v/>
      </c>
      <c r="G13" s="97"/>
      <c r="H13" s="27" t="s">
        <v>29</v>
      </c>
      <c r="J13" s="15" t="s">
        <v>40</v>
      </c>
      <c r="L13" s="155"/>
      <c r="M13" s="155"/>
      <c r="N13" s="155"/>
      <c r="O13" s="19"/>
      <c r="P13" s="18" t="s">
        <v>41</v>
      </c>
      <c r="Q13" s="18"/>
      <c r="R13" s="132"/>
      <c r="S13" s="132"/>
      <c r="T13" s="132"/>
      <c r="U13" s="132"/>
    </row>
    <row r="14" spans="1:22" ht="36" customHeight="1" thickBot="1" x14ac:dyDescent="0.25">
      <c r="A14" s="33"/>
      <c r="B14" s="34" t="str">
        <f>'Control Entry'!N57</f>
        <v/>
      </c>
      <c r="C14" s="34" t="str">
        <f>'Control Entry'!O57</f>
        <v/>
      </c>
      <c r="D14" s="35"/>
      <c r="E14" s="36" t="str">
        <f>IF(ISBLANK('Control Entry'!H57),"",'Control Entry'!H57)</f>
        <v/>
      </c>
      <c r="F14" s="100" t="str">
        <f>IF(ISBLANK('Control Entry'!K57),"",'Control Entry'!K57)</f>
        <v/>
      </c>
      <c r="G14" s="99"/>
      <c r="H14" s="27" t="s">
        <v>29</v>
      </c>
    </row>
    <row r="15" spans="1:22" ht="36" customHeight="1" x14ac:dyDescent="0.2">
      <c r="A15" s="29"/>
      <c r="B15" s="30" t="str">
        <f>'Control Entry'!N58</f>
        <v/>
      </c>
      <c r="C15" s="30" t="str">
        <f>'Control Entry'!O58</f>
        <v/>
      </c>
      <c r="D15" s="37"/>
      <c r="E15" s="32" t="str">
        <f>IF(ISBLANK('Control Entry'!F58),"",'Control Entry'!F58)</f>
        <v/>
      </c>
      <c r="F15" s="96" t="str">
        <f>IF(ISBLANK('Control Entry'!I58),"",'Control Entry'!I58)</f>
        <v/>
      </c>
      <c r="G15" s="97"/>
      <c r="H15" s="27" t="s">
        <v>29</v>
      </c>
      <c r="J15" s="15"/>
      <c r="L15" s="149" t="s">
        <v>58</v>
      </c>
      <c r="M15" s="149"/>
      <c r="N15" s="149"/>
      <c r="O15" s="149"/>
      <c r="P15" s="149"/>
      <c r="Q15" s="149"/>
      <c r="R15" s="149"/>
      <c r="S15" s="149"/>
      <c r="T15" s="149"/>
      <c r="U15" s="149"/>
    </row>
    <row r="16" spans="1:22" ht="36" customHeight="1" thickBot="1" x14ac:dyDescent="0.25">
      <c r="A16" s="38" t="str">
        <f>IF(ISBLANK('Control Entry'!D58),"",'Control Entry'!D58)</f>
        <v/>
      </c>
      <c r="B16" s="39" t="str">
        <f>'Control Entry'!N58</f>
        <v/>
      </c>
      <c r="C16" s="39" t="str">
        <f>'Control Entry'!O58</f>
        <v/>
      </c>
      <c r="D16" s="40" t="str">
        <f>IF(ISBLANK('Control Entry'!E58),"",'Control Entry'!E58)</f>
        <v/>
      </c>
      <c r="E16" s="32" t="str">
        <f>IF(ISBLANK('Control Entry'!G58),"",'Control Entry'!G58)</f>
        <v/>
      </c>
      <c r="F16" s="96" t="str">
        <f>IF(ISBLANK('Control Entry'!J58),"",'Control Entry'!J58)</f>
        <v/>
      </c>
      <c r="G16" s="97"/>
      <c r="H16" s="27" t="s">
        <v>29</v>
      </c>
      <c r="L16" s="158"/>
      <c r="M16" s="158"/>
      <c r="N16" s="158"/>
      <c r="O16" s="158"/>
      <c r="P16" s="158"/>
      <c r="Q16" s="158"/>
      <c r="R16" s="158"/>
      <c r="S16" s="158"/>
      <c r="T16" s="158"/>
      <c r="U16" s="158"/>
    </row>
    <row r="17" spans="1:22" ht="36" customHeight="1" thickBot="1" x14ac:dyDescent="0.25">
      <c r="A17" s="33"/>
      <c r="B17" s="34" t="str">
        <f>'Control Entry'!N58</f>
        <v/>
      </c>
      <c r="C17" s="34" t="str">
        <f>'Control Entry'!O58</f>
        <v/>
      </c>
      <c r="D17" s="35"/>
      <c r="E17" s="36" t="str">
        <f>IF(ISBLANK('Control Entry'!H58),"",'Control Entry'!H58)</f>
        <v/>
      </c>
      <c r="F17" s="100" t="str">
        <f>IF(ISBLANK('Control Entry'!K58),"",'Control Entry'!K58)</f>
        <v/>
      </c>
      <c r="G17" s="99"/>
      <c r="H17" s="27" t="s">
        <v>29</v>
      </c>
    </row>
    <row r="18" spans="1:22" ht="36" customHeight="1" x14ac:dyDescent="0.2">
      <c r="A18" s="29"/>
      <c r="B18" s="30" t="str">
        <f>'Control Entry'!N59</f>
        <v/>
      </c>
      <c r="C18" s="30" t="str">
        <f>'Control Entry'!O59</f>
        <v/>
      </c>
      <c r="D18" s="37"/>
      <c r="E18" s="32" t="str">
        <f>IF(ISBLANK('Control Entry'!F59),"",'Control Entry'!F59)</f>
        <v/>
      </c>
      <c r="F18" s="96" t="str">
        <f>IF(ISBLANK('Control Entry'!I59),"",'Control Entry'!I59)</f>
        <v/>
      </c>
      <c r="G18" s="97"/>
      <c r="H18" s="27" t="s">
        <v>29</v>
      </c>
    </row>
    <row r="19" spans="1:22" ht="36" customHeight="1" x14ac:dyDescent="0.2">
      <c r="A19" s="38" t="str">
        <f>IF(ISBLANK('Control Entry'!D59),"",'Control Entry'!D59)</f>
        <v/>
      </c>
      <c r="B19" s="39" t="str">
        <f>'Control Entry'!N59</f>
        <v/>
      </c>
      <c r="C19" s="39" t="str">
        <f>'Control Entry'!O59</f>
        <v/>
      </c>
      <c r="D19" s="40" t="str">
        <f>IF(ISBLANK('Control Entry'!E59),"",'Control Entry'!E59)</f>
        <v/>
      </c>
      <c r="E19" s="32" t="str">
        <f>IF(ISBLANK('Control Entry'!G59),"",'Control Entry'!G59)</f>
        <v/>
      </c>
      <c r="F19" s="96" t="str">
        <f>IF(ISBLANK('Control Entry'!J59),"",'Control Entry'!J59)</f>
        <v/>
      </c>
      <c r="G19" s="97"/>
      <c r="H19" s="27" t="s">
        <v>29</v>
      </c>
    </row>
    <row r="20" spans="1:22" ht="36" customHeight="1" thickBot="1" x14ac:dyDescent="0.25">
      <c r="A20" s="33"/>
      <c r="B20" s="34" t="str">
        <f>'Control Entry'!N59</f>
        <v/>
      </c>
      <c r="C20" s="34" t="str">
        <f>'Control Entry'!O59</f>
        <v/>
      </c>
      <c r="D20" s="35"/>
      <c r="E20" s="36" t="str">
        <f>IF(ISBLANK('Control Entry'!H59),"",'Control Entry'!H59)</f>
        <v/>
      </c>
      <c r="F20" s="100" t="str">
        <f>IF(ISBLANK('Control Entry'!K59),"",'Control Entry'!K59)</f>
        <v/>
      </c>
      <c r="G20" s="99"/>
      <c r="H20" s="27" t="s">
        <v>29</v>
      </c>
      <c r="J20" s="59" t="s">
        <v>44</v>
      </c>
      <c r="K20" s="59"/>
      <c r="L20" s="143">
        <f>IF(ISBLANK('Control Entry'!B12),"",'Control Entry'!B12)</f>
        <v>44758</v>
      </c>
      <c r="M20" s="143"/>
      <c r="N20" s="143"/>
      <c r="P20" s="18" t="s">
        <v>0</v>
      </c>
      <c r="Q20" s="18"/>
      <c r="S20" s="148">
        <f>IF(ISBLANK('Control Entry'!B13),"",'Control Entry'!B13)</f>
        <v>0.25</v>
      </c>
      <c r="T20" s="148"/>
      <c r="U20" s="148"/>
    </row>
    <row r="21" spans="1:22" ht="36" customHeight="1" x14ac:dyDescent="0.2">
      <c r="A21" s="29"/>
      <c r="B21" s="30" t="str">
        <f>'Control Entry'!N60</f>
        <v/>
      </c>
      <c r="C21" s="30" t="str">
        <f>'Control Entry'!O60</f>
        <v/>
      </c>
      <c r="D21" s="37"/>
      <c r="E21" s="32" t="str">
        <f>IF(ISBLANK('Control Entry'!F60),"",'Control Entry'!F60)</f>
        <v/>
      </c>
      <c r="F21" s="96" t="str">
        <f>IF(ISBLANK('Control Entry'!I60),"",'Control Entry'!I60)</f>
        <v/>
      </c>
      <c r="G21" s="97"/>
      <c r="H21" s="27" t="s">
        <v>29</v>
      </c>
      <c r="J21" s="157" t="s">
        <v>90</v>
      </c>
      <c r="K21" s="157"/>
      <c r="L21" s="157"/>
      <c r="M21" s="157"/>
      <c r="N21" s="157"/>
      <c r="O21" s="157"/>
      <c r="P21" s="157"/>
      <c r="Q21" s="157"/>
      <c r="R21" s="157"/>
      <c r="S21" s="157"/>
      <c r="T21" s="157"/>
      <c r="U21" s="157"/>
      <c r="V21" s="28"/>
    </row>
    <row r="22" spans="1:22" ht="36" customHeight="1" thickBot="1" x14ac:dyDescent="0.25">
      <c r="A22" s="38" t="str">
        <f>IF(ISBLANK('Control Entry'!D60),"",'Control Entry'!D60)</f>
        <v/>
      </c>
      <c r="B22" s="39" t="str">
        <f>'Control Entry'!N60</f>
        <v/>
      </c>
      <c r="C22" s="39" t="str">
        <f>'Control Entry'!O60</f>
        <v/>
      </c>
      <c r="D22" s="40" t="str">
        <f>IF(ISBLANK('Control Entry'!E60),"",'Control Entry'!E60)</f>
        <v/>
      </c>
      <c r="E22" s="32" t="str">
        <f>IF(ISBLANK('Control Entry'!G60),"",'Control Entry'!G60)</f>
        <v/>
      </c>
      <c r="F22" s="96" t="str">
        <f>IF(ISBLANK('Control Entry'!J60),"",'Control Entry'!J60)</f>
        <v/>
      </c>
      <c r="G22" s="97"/>
      <c r="H22" s="27" t="s">
        <v>29</v>
      </c>
      <c r="J22" s="18" t="s">
        <v>45</v>
      </c>
      <c r="K22" s="18"/>
      <c r="L22" s="19"/>
      <c r="M22" s="151"/>
      <c r="N22" s="151"/>
      <c r="O22" s="151"/>
      <c r="P22" s="18" t="s">
        <v>1</v>
      </c>
      <c r="Q22" s="18"/>
      <c r="R22" s="19"/>
      <c r="S22" s="151"/>
      <c r="T22" s="151"/>
      <c r="U22" s="151"/>
    </row>
    <row r="23" spans="1:22" ht="36" customHeight="1" thickBot="1" x14ac:dyDescent="0.25">
      <c r="A23" s="33"/>
      <c r="B23" s="34" t="str">
        <f>'Control Entry'!N60</f>
        <v/>
      </c>
      <c r="C23" s="34" t="str">
        <f>'Control Entry'!O60</f>
        <v/>
      </c>
      <c r="D23" s="35"/>
      <c r="E23" s="36" t="str">
        <f>IF(ISBLANK('Control Entry'!H60),"",'Control Entry'!H60)</f>
        <v/>
      </c>
      <c r="F23" s="100" t="str">
        <f>IF(ISBLANK('Control Entry'!K60),"",'Control Entry'!K60)</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Entry'!N61</f>
        <v/>
      </c>
      <c r="C24" s="30" t="str">
        <f>'Control Entry'!O61</f>
        <v/>
      </c>
      <c r="D24" s="37"/>
      <c r="E24" s="32" t="str">
        <f>IF(ISBLANK('Control Entry'!F61),"",'Control Entry'!F61)</f>
        <v/>
      </c>
      <c r="F24" s="96" t="str">
        <f>IF(ISBLANK('Control Entry'!I61),"",'Control Entry'!I61)</f>
        <v/>
      </c>
      <c r="G24" s="97"/>
      <c r="H24" s="27" t="s">
        <v>29</v>
      </c>
      <c r="J24" s="151"/>
      <c r="K24" s="151"/>
      <c r="L24" s="151"/>
      <c r="M24" s="151"/>
      <c r="N24" s="151"/>
      <c r="O24" s="19"/>
      <c r="P24" s="18" t="s">
        <v>2</v>
      </c>
      <c r="Q24" s="18"/>
      <c r="R24" s="19"/>
      <c r="S24" s="151"/>
      <c r="T24" s="151"/>
      <c r="U24" s="151"/>
    </row>
    <row r="25" spans="1:22" ht="36" customHeight="1" x14ac:dyDescent="0.2">
      <c r="A25" s="38" t="str">
        <f>IF(ISBLANK('Control Entry'!D61),"",'Control Entry'!D61)</f>
        <v/>
      </c>
      <c r="B25" s="39" t="str">
        <f>'Control Entry'!N61</f>
        <v/>
      </c>
      <c r="C25" s="39" t="str">
        <f>'Control Entry'!O61</f>
        <v/>
      </c>
      <c r="D25" s="40" t="str">
        <f>IF(ISBLANK('Control Entry'!E61),"",'Control Entry'!E61)</f>
        <v/>
      </c>
      <c r="E25" s="32" t="str">
        <f>IF(ISBLANK('Control Entry'!G61),"",'Control Entry'!G61)</f>
        <v/>
      </c>
      <c r="F25" s="96" t="str">
        <f>IF(ISBLANK('Control Entry'!J61),"",'Control Entry'!J61)</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t="str">
        <f>'Control Entry'!N61</f>
        <v/>
      </c>
      <c r="C26" s="34" t="str">
        <f>'Control Entry'!O61</f>
        <v/>
      </c>
      <c r="D26" s="35"/>
      <c r="E26" s="36" t="str">
        <f>IF(ISBLANK('Control Entry'!H61),"",'Control Entry'!H61)</f>
        <v/>
      </c>
      <c r="F26" s="100" t="str">
        <f>IF(ISBLANK('Control Entry'!K61),"",'Control Entry'!K61)</f>
        <v/>
      </c>
      <c r="G26" s="99"/>
      <c r="H26" s="27" t="s">
        <v>29</v>
      </c>
    </row>
    <row r="27" spans="1:22" ht="36" customHeight="1" x14ac:dyDescent="0.2">
      <c r="A27" s="29"/>
      <c r="B27" s="30" t="str">
        <f>'Control Entry'!N62</f>
        <v/>
      </c>
      <c r="C27" s="30" t="str">
        <f>'Control Entry'!O62</f>
        <v/>
      </c>
      <c r="D27" s="37"/>
      <c r="E27" s="32" t="str">
        <f>IF(ISBLANK('Control Entry'!F62),"",'Control Entry'!F62)</f>
        <v/>
      </c>
      <c r="F27" s="96" t="str">
        <f>IF(ISBLANK('Control Entry'!I62),"",'Control Entry'!I62)</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IF(ISBLANK('Control Entry'!D62),"",'Control Entry'!D62)</f>
        <v/>
      </c>
      <c r="B28" s="39" t="str">
        <f>'Control Entry'!N62</f>
        <v/>
      </c>
      <c r="C28" s="39" t="str">
        <f>'Control Entry'!O62</f>
        <v/>
      </c>
      <c r="D28" s="40" t="str">
        <f>IF(ISBLANK('Control Entry'!E62),"",'Control Entry'!E62)</f>
        <v/>
      </c>
      <c r="E28" s="32" t="str">
        <f>IF(ISBLANK('Control Entry'!G62),"",'Control Entry'!G62)</f>
        <v/>
      </c>
      <c r="F28" s="96" t="str">
        <f>IF(ISBLANK('Control Entry'!J62),"",'Control Entry'!J62)</f>
        <v/>
      </c>
      <c r="G28" s="97"/>
      <c r="H28" s="27" t="s">
        <v>29</v>
      </c>
    </row>
    <row r="29" spans="1:22" ht="36" customHeight="1" thickBot="1" x14ac:dyDescent="0.25">
      <c r="A29" s="33"/>
      <c r="B29" s="34" t="str">
        <f>'Control Entry'!N62</f>
        <v/>
      </c>
      <c r="C29" s="34" t="str">
        <f>'Control Entry'!O62</f>
        <v/>
      </c>
      <c r="D29" s="35"/>
      <c r="E29" s="36" t="str">
        <f>IF(ISBLANK('Control Entry'!H62),"",'Control Entry'!H62)</f>
        <v/>
      </c>
      <c r="F29" s="100" t="str">
        <f>IF(ISBLANK('Control Entry'!K62),"",'Control Entry'!K62)</f>
        <v/>
      </c>
      <c r="G29" s="99"/>
      <c r="H29" s="27" t="s">
        <v>29</v>
      </c>
      <c r="M29" s="122" t="s">
        <v>42</v>
      </c>
      <c r="N29" s="122"/>
      <c r="O29" s="122"/>
      <c r="P29" s="122"/>
      <c r="Q29" s="122"/>
      <c r="R29" s="122"/>
      <c r="S29" s="122"/>
      <c r="T29" s="122"/>
      <c r="U29" s="54"/>
    </row>
    <row r="30" spans="1:22" ht="36" customHeight="1" x14ac:dyDescent="0.2">
      <c r="A30" s="29"/>
      <c r="B30" s="30" t="str">
        <f>'Control Entry'!N63</f>
        <v/>
      </c>
      <c r="C30" s="30" t="str">
        <f>'Control Entry'!O63</f>
        <v/>
      </c>
      <c r="D30" s="37"/>
      <c r="E30" s="32" t="str">
        <f>IF(ISBLANK('Control Entry'!F63),"",'Control Entry'!F63)</f>
        <v/>
      </c>
      <c r="F30" s="96" t="str">
        <f>IF(ISBLANK('Control Entry'!I63),"",'Control Entry'!I63)</f>
        <v/>
      </c>
      <c r="G30" s="97"/>
      <c r="H30" s="27" t="s">
        <v>29</v>
      </c>
      <c r="M30" s="16"/>
      <c r="N30" s="20"/>
      <c r="O30" s="20"/>
      <c r="P30" s="21"/>
      <c r="Q30" s="102"/>
      <c r="R30" s="20"/>
      <c r="S30" s="20"/>
      <c r="T30" s="21"/>
      <c r="U30" s="22"/>
    </row>
    <row r="31" spans="1:22" ht="36" customHeight="1" x14ac:dyDescent="0.2">
      <c r="A31" s="38" t="str">
        <f>IF(ISBLANK('Control Entry'!D63),"",'Control Entry'!D63)</f>
        <v/>
      </c>
      <c r="B31" s="39" t="str">
        <f>'Control Entry'!N63</f>
        <v/>
      </c>
      <c r="C31" s="39" t="str">
        <f>'Control Entry'!O63</f>
        <v/>
      </c>
      <c r="D31" s="40" t="str">
        <f>IF(ISBLANK('Control Entry'!E63),"",'Control Entry'!E63)</f>
        <v/>
      </c>
      <c r="E31" s="32" t="str">
        <f>IF(ISBLANK('Control Entry'!G63),"",'Control Entry'!G63)</f>
        <v/>
      </c>
      <c r="F31" s="96" t="str">
        <f>IF(ISBLANK('Control Entry'!J63),"",'Control Entry'!J63)</f>
        <v/>
      </c>
      <c r="G31" s="97"/>
      <c r="H31" s="27" t="s">
        <v>29</v>
      </c>
      <c r="M31" s="17"/>
      <c r="N31" s="22"/>
      <c r="O31" s="22"/>
      <c r="P31" s="23"/>
      <c r="Q31" s="103"/>
      <c r="R31" s="22"/>
      <c r="S31" s="22"/>
      <c r="T31" s="23"/>
      <c r="U31" s="22"/>
    </row>
    <row r="32" spans="1:22" ht="36" customHeight="1" thickBot="1" x14ac:dyDescent="0.25">
      <c r="A32" s="33"/>
      <c r="B32" s="34" t="str">
        <f>'Control Entry'!N63</f>
        <v/>
      </c>
      <c r="C32" s="34" t="str">
        <f>'Control Entry'!O63</f>
        <v/>
      </c>
      <c r="D32" s="35"/>
      <c r="E32" s="36" t="str">
        <f>IF(ISBLANK('Control Entry'!H63),"",'Control Entry'!H63)</f>
        <v/>
      </c>
      <c r="F32" s="100" t="str">
        <f>IF(ISBLANK('Control Entry'!K63),"",'Control Entry'!K63)</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44745</v>
      </c>
      <c r="R33" s="127"/>
      <c r="S33" s="127"/>
      <c r="T33" s="127"/>
      <c r="U33" s="91"/>
      <c r="V33" s="57"/>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m+5DxS5z0jGPz2enrJCRgFwjkf0y6S+KVRFuN1IjzuBtg7DxgRkCvJA9CD6YWcWRfvJNtgkjCl2dSguY7geJVQ==" saltValue="ged3XotTQX8HcL4AYG6aUg==" spinCount="100000" sheet="1" objects="1" scenarios="1" formatCells="0" selectLockedCells="1"/>
  <mergeCells count="42">
    <mergeCell ref="J21:U21"/>
    <mergeCell ref="L11:N11"/>
    <mergeCell ref="S11:U11"/>
    <mergeCell ref="A1:G1"/>
    <mergeCell ref="K2:U2"/>
    <mergeCell ref="O3:R3"/>
    <mergeCell ref="M4:T4"/>
    <mergeCell ref="N5:O5"/>
    <mergeCell ref="R5:U5"/>
    <mergeCell ref="L6:U6"/>
    <mergeCell ref="L8:Q8"/>
    <mergeCell ref="T8:U8"/>
    <mergeCell ref="L9:U9"/>
    <mergeCell ref="L10:U10"/>
    <mergeCell ref="J25:N25"/>
    <mergeCell ref="P25:Q25"/>
    <mergeCell ref="S25:T25"/>
    <mergeCell ref="U25:V25"/>
    <mergeCell ref="L12:N12"/>
    <mergeCell ref="S12:U12"/>
    <mergeCell ref="L13:N13"/>
    <mergeCell ref="R13:U13"/>
    <mergeCell ref="L15:U15"/>
    <mergeCell ref="L16:U16"/>
    <mergeCell ref="L20:N20"/>
    <mergeCell ref="S20:U20"/>
    <mergeCell ref="S22:U22"/>
    <mergeCell ref="J24:N24"/>
    <mergeCell ref="S24:U24"/>
    <mergeCell ref="M22:O22"/>
    <mergeCell ref="A33:G33"/>
    <mergeCell ref="M33:P33"/>
    <mergeCell ref="Q33:T33"/>
    <mergeCell ref="N35:U35"/>
    <mergeCell ref="K27:L27"/>
    <mergeCell ref="N27:O27"/>
    <mergeCell ref="P27:Q27"/>
    <mergeCell ref="S27:T27"/>
    <mergeCell ref="U27:V27"/>
    <mergeCell ref="M29:T29"/>
    <mergeCell ref="M32:P32"/>
    <mergeCell ref="Q32:T32"/>
  </mergeCells>
  <conditionalFormatting sqref="K27:V27">
    <cfRule type="expression" dxfId="6" priority="8">
      <formula>$S$3="#4"</formula>
    </cfRule>
    <cfRule type="expression" dxfId="5" priority="7">
      <formula>$S$3="#2"</formula>
    </cfRule>
  </conditionalFormatting>
  <conditionalFormatting sqref="P22:U24">
    <cfRule type="expression" dxfId="4" priority="6">
      <formula>$S$3="#4"</formula>
    </cfRule>
    <cfRule type="expression" dxfId="3" priority="5">
      <formula>$S$3="#2"</formula>
    </cfRule>
  </conditionalFormatting>
  <conditionalFormatting sqref="J22:O22">
    <cfRule type="expression" dxfId="2" priority="3">
      <formula>$S$3="#2"</formula>
    </cfRule>
    <cfRule type="expression" dxfId="1" priority="4">
      <formula>$S$3="#4"</formula>
    </cfRule>
  </conditionalFormatting>
  <conditionalFormatting sqref="J21:U21">
    <cfRule type="expression" dxfId="0" priority="2">
      <formula>AND($S$3&lt;&gt;"#2",$S$3&lt;&gt;"#4")</formula>
    </cfRule>
  </conditionalFormatting>
  <printOptions horizontalCentered="1" verticalCentered="1"/>
  <pageMargins left="0.2" right="0.2" top="0.2" bottom="0.2" header="0.51" footer="0.51"/>
  <pageSetup scale="44" orientation="landscape"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30</vt:i4>
      </vt:variant>
    </vt:vector>
  </HeadingPairs>
  <TitlesOfParts>
    <vt:vector size="35" baseType="lpstr">
      <vt:lpstr>Control Entry</vt:lpstr>
      <vt:lpstr>Control Card #1</vt:lpstr>
      <vt:lpstr>Control Card #2</vt:lpstr>
      <vt:lpstr>Control Card #3</vt:lpstr>
      <vt:lpstr>Control Card #4</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#1'!Print_Titles</vt:lpstr>
      <vt:lpstr>'Control Card #2'!Print_Titles</vt:lpstr>
      <vt:lpstr>'Control Card #3'!Print_Titles</vt:lpstr>
      <vt:lpstr>'Control Card #4'!Print_Titles</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2022-07-03T23:35:57Z</cp:lastPrinted>
  <dcterms:created xsi:type="dcterms:W3CDTF">1997-11-12T04:43:39Z</dcterms:created>
  <dcterms:modified xsi:type="dcterms:W3CDTF">2022-07-03T23:36:44Z</dcterms:modified>
</cp:coreProperties>
</file>