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08"/>
  <workbookPr showInkAnnotation="0" autoCompressPictures="0"/>
  <mc:AlternateContent xmlns:mc="http://schemas.openxmlformats.org/markup-compatibility/2006">
    <mc:Choice Requires="x15">
      <x15ac:absPath xmlns:x15ac="http://schemas.microsoft.com/office/spreadsheetml/2010/11/ac" url="/Users/stephencarol/Documents/BCR/2025/5489 Around the corner/"/>
    </mc:Choice>
  </mc:AlternateContent>
  <xr:revisionPtr revIDLastSave="0" documentId="13_ncr:1_{9D93AA30-2855-D44C-8F64-802A88486D16}" xr6:coauthVersionLast="47" xr6:coauthVersionMax="47" xr10:uidLastSave="{00000000-0000-0000-0000-000000000000}"/>
  <bookViews>
    <workbookView xWindow="0" yWindow="760" windowWidth="29300" windowHeight="18360" tabRatio="509" xr2:uid="{00000000-000D-0000-FFFF-FFFF00000000}"/>
  </bookViews>
  <sheets>
    <sheet name="Control Entry" sheetId="1" r:id="rId1"/>
    <sheet name="Card #1" sheetId="7" r:id="rId2"/>
  </sheets>
  <definedNames>
    <definedName name="Address_1" localSheetId="1">#REF!</definedName>
    <definedName name="Address_1">#REF!</definedName>
    <definedName name="Address_2" localSheetId="1">#REF!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'Control Entry'!#REF!</definedName>
    <definedName name="Control_12" localSheetId="1">'Control Entry'!#REF!</definedName>
    <definedName name="Control_12">'Control Entry'!#REF!</definedName>
    <definedName name="Control_13" localSheetId="1">'Control Entry'!#REF!</definedName>
    <definedName name="Control_13">'Control Entry'!#REF!</definedName>
    <definedName name="Control_14" localSheetId="1">'Control Entry'!#REF!</definedName>
    <definedName name="Control_14">'Control Entry'!#REF!</definedName>
    <definedName name="Control_15" localSheetId="1">'Control Entry'!#REF!</definedName>
    <definedName name="Control_15">'Control Entry'!#REF!</definedName>
    <definedName name="Control_16" localSheetId="1">'Control Entry'!#REF!</definedName>
    <definedName name="Control_16">'Control Entry'!#REF!</definedName>
    <definedName name="Control_17" localSheetId="1">'Control Entry'!#REF!</definedName>
    <definedName name="Control_17">'Control Entry'!#REF!</definedName>
    <definedName name="Control_18" localSheetId="1">'Control Entry'!#REF!</definedName>
    <definedName name="Control_18">'Control Entry'!#REF!</definedName>
    <definedName name="Control_19" localSheetId="1">'Control Entry'!#REF!</definedName>
    <definedName name="Control_19">'Control Entry'!#REF!</definedName>
    <definedName name="Control_2">'Control Entry'!$D$16:$O$16</definedName>
    <definedName name="Control_20" localSheetId="1">'Control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#REF!</definedName>
    <definedName name="Distance">'Control Entry'!$D$15:$D$24</definedName>
    <definedName name="email" localSheetId="1">#REF!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#REF!</definedName>
    <definedName name="First_Name" localSheetId="1">#REF!</definedName>
    <definedName name="First_Name">#REF!</definedName>
    <definedName name="Home_telephone" localSheetId="1">#REF!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#REF!</definedName>
    <definedName name="_xlnm.Print_Area" localSheetId="1">'Card #1'!$A$1:$K$55</definedName>
    <definedName name="Province_State" localSheetId="1">#REF!</definedName>
    <definedName name="Province_State">#REF!</definedName>
    <definedName name="Start_date">'Control Entry'!$B$12</definedName>
    <definedName name="Start_time">'Control Entry'!$B$13</definedName>
    <definedName name="surname" localSheetId="1">#REF!</definedName>
    <definedName name="surname">#REF!</definedName>
    <definedName name="Work_telephone" localSheetId="1">#REF!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7" i="1" l="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M16" i="1" l="1"/>
  <c r="O16" i="1" s="1"/>
  <c r="C22" i="7"/>
  <c r="C23" i="7"/>
  <c r="C21" i="7"/>
  <c r="B7" i="1"/>
  <c r="M21" i="1" s="1"/>
  <c r="O21" i="1" s="1"/>
  <c r="M19" i="1"/>
  <c r="O19" i="1" s="1"/>
  <c r="M18" i="1"/>
  <c r="O18" i="1" s="1"/>
  <c r="M17" i="1"/>
  <c r="O17" i="1" s="1"/>
  <c r="M15" i="1"/>
  <c r="O15" i="1" s="1"/>
  <c r="N18" i="1"/>
  <c r="N22" i="1"/>
  <c r="N17" i="1"/>
  <c r="N21" i="1"/>
  <c r="N24" i="1"/>
  <c r="N16" i="1"/>
  <c r="N20" i="1"/>
  <c r="N19" i="1"/>
  <c r="N23" i="1"/>
  <c r="M24" i="1" l="1"/>
  <c r="O24" i="1" s="1"/>
  <c r="D50" i="7" s="1"/>
  <c r="M23" i="1"/>
  <c r="O23" i="1" s="1"/>
  <c r="D47" i="7" s="1"/>
  <c r="M20" i="1"/>
  <c r="O20" i="1" s="1"/>
  <c r="D37" i="7" s="1"/>
  <c r="M22" i="1"/>
  <c r="O22" i="1" s="1"/>
  <c r="D44" i="7"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48" i="7" l="1"/>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<sst xmlns="http://schemas.openxmlformats.org/spreadsheetml/2006/main" count="106" uniqueCount="96">
  <si>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</si>
  <si>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</si>
  <si>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</si>
  <si>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</si>
  <si>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</si>
  <si>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</si>
  <si>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</si>
  <si>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</si>
  <si>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</si>
  <si>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</si>
  <si>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</si>
  <si>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</si>
  <si>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</si>
  <si>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</si>
  <si>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</si>
  <si>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</si>
  <si>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</si>
  <si>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</si>
  <si>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</si>
  <si>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</si>
  <si>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</si>
  <si>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</si>
  <si>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</si>
  <si>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</si>
  <si>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</si>
  <si>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</si>
  <si>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</si>
  <si>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</si>
  <si>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</si>
  <si>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</si>
  <si>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</si>
  <si>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</si>
  <si>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</si>
  <si>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</si>
  <si>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</si>
  <si>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</si>
  <si>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</si>
  <si>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</si>
  <si>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</si>
  <si>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</si>
  <si>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</si>
  <si>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</si>
  <si>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</si>
  <si>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</si>
  <si>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</si>
  <si>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</si>
  <si>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</si>
  <si>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</si>
  <si>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</si>
  <si>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</si>
  <si>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</si>
  <si>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</si>
  <si>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</si>
  <si>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</si>
  <si>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</si>
  <si>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</si>
  <si>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</si>
  <si>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</si>
  <si>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</si>
  <si>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</si>
  <si>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</si>
  <si>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</si>
  <si>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</si>
  <si>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</si>
  <si>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</si>
  <si>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</si>
  <si>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</si>
  <si>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</si>
  <si>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</si>
  <si>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</si>
  <si>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Fill in the control distance.  The opening and closing times will be automatically calculated based on the start time and the brevet distance.  If you need more than 10 controls, or need an alternate start loction, use card #2, otherwise leave that section blank. (Similarly for cards #3 and #4.)</t>
  </si>
  <si>
    <t>DUNCAN</t>
  </si>
  <si>
    <t>3320 Cowichan Lake Rd</t>
  </si>
  <si>
    <t>GORDON BAY</t>
  </si>
  <si>
    <t>Sign at washoom</t>
  </si>
  <si>
    <t>YELLOW POINT</t>
  </si>
  <si>
    <t>Info sign</t>
  </si>
  <si>
    <t>How many native species pictured?</t>
  </si>
  <si>
    <t>CEDAR</t>
  </si>
  <si>
    <t>It's just around the corner</t>
  </si>
  <si>
    <t>‭(250) 213-3724‬</t>
  </si>
  <si>
    <t>Tim Hortons Berkey's Corner</t>
  </si>
  <si>
    <t>STAFFED</t>
  </si>
  <si>
    <t>Gordon Bay Day Use area</t>
  </si>
  <si>
    <t>INFORMATION</t>
  </si>
  <si>
    <t>Gas N Go, 1594 MacMillan Rd</t>
  </si>
  <si>
    <t>BUSINESS</t>
  </si>
  <si>
    <t>NORTH COWICHAN</t>
  </si>
  <si>
    <t>Mays Rd @ Relke Rd</t>
  </si>
  <si>
    <t>Yellow Pt Park, 4151 Yellow Pt Rd</t>
  </si>
  <si>
    <t>Top listing on map legend?</t>
  </si>
  <si>
    <t>Newspaper box</t>
  </si>
  <si>
    <t>Cowichan Valley _____?</t>
  </si>
  <si>
    <t>Toilets      Parking      Fishing</t>
  </si>
  <si>
    <t>0       3       6</t>
  </si>
  <si>
    <t>Leader       Report       Citizen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</si>
</sst>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8"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
      <b/>
      <sz val="12"/>
      <name val="Arial"/>
      <family val="2"/>
    </font>
    <font>
      <sz val="12"/>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5">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49" fontId="37" fillId="0" borderId="14" xfId="0" applyNumberFormat="1" applyFont="1" applyBorder="1" applyAlignment="1" applyProtection="1">
      <alignment horizontal="center"/>
      <protection locked="0"/>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36" fillId="0" borderId="20" xfId="0" applyFont="1" applyBorder="1" applyAlignment="1">
      <alignment horizontal="center" vertical="top"/>
    </xf>
    <xf numFmtId="15" fontId="0" fillId="0" borderId="0" xfId="0" applyNumberFormat="1" applyAlignment="1">
      <alignment horizontal="left" vertical="top"/>
    </xf>
    <xf numFmtId="0" fontId="0" fillId="0" borderId="0" xfId="0" applyAlignment="1">
      <alignment horizontal="left" vertical="top"/>
    </xf>
    <xf numFmtId="0" fontId="35" fillId="0" borderId="6" xfId="0" applyFont="1" applyBorder="1" applyAlignment="1" applyProtection="1">
      <alignment horizontal="center" vertical="top" wrapText="1"/>
      <protection locked="0"/>
    </xf>
    <xf numFmtId="0" fontId="35" fillId="0" borderId="0" xfId="0" applyFont="1" applyAlignment="1" applyProtection="1">
      <alignment horizontal="center" vertical="top" wrapText="1"/>
      <protection locked="0"/>
    </xf>
    <xf numFmtId="0" fontId="35" fillId="0" borderId="17" xfId="0" applyFont="1" applyBorder="1" applyAlignment="1" applyProtection="1">
      <alignment horizontal="center" vertical="top" wrapText="1"/>
      <protection locked="0"/>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showGridLines="0" tabSelected="1" zoomScale="140" zoomScaleNormal="140" zoomScalePageLayoutView="135" workbookViewId="0">
      <selection activeCell="B5" sqref="B5"/>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04" t="s">
        <v>56</v>
      </c>
      <c r="B1" s="104"/>
      <c r="C1" s="104"/>
      <c r="D1" s="104"/>
      <c r="E1" s="104"/>
      <c r="F1" s="104"/>
      <c r="G1" s="104"/>
      <c r="H1" s="40" t="s">
        <v>53</v>
      </c>
      <c r="Q1" s="106" t="s">
        <v>55</v>
      </c>
      <c r="R1" s="106"/>
      <c r="S1" s="106"/>
      <c r="T1" s="106"/>
      <c r="U1" s="106"/>
      <c r="V1" s="106"/>
      <c r="W1" s="106"/>
      <c r="X1" s="106"/>
      <c r="Y1" s="106"/>
      <c r="Z1" s="106"/>
      <c r="AA1" s="106"/>
      <c r="AB1" s="106"/>
      <c r="AC1" s="106"/>
      <c r="AD1" s="106"/>
      <c r="AE1" s="106"/>
      <c r="AF1" s="106"/>
      <c r="AG1" s="88"/>
    </row>
    <row r="2" spans="1:33" ht="13" customHeight="1" thickBot="1" x14ac:dyDescent="0.2">
      <c r="H2" s="44"/>
      <c r="I2" s="44"/>
      <c r="Q2" s="106"/>
      <c r="R2" s="106"/>
      <c r="S2" s="106"/>
      <c r="T2" s="106"/>
      <c r="U2" s="106"/>
      <c r="V2" s="106"/>
      <c r="W2" s="106"/>
      <c r="X2" s="106"/>
      <c r="Y2" s="106"/>
      <c r="Z2" s="106"/>
      <c r="AA2" s="106"/>
      <c r="AB2" s="106"/>
      <c r="AC2" s="106"/>
      <c r="AD2" s="106"/>
      <c r="AE2" s="106"/>
      <c r="AF2" s="106"/>
      <c r="AG2" s="88"/>
    </row>
    <row r="3" spans="1:33" s="48" customFormat="1" ht="13" customHeight="1" thickBot="1" x14ac:dyDescent="0.2">
      <c r="A3" s="47" t="s">
        <v>52</v>
      </c>
      <c r="B3" s="72">
        <v>45167</v>
      </c>
      <c r="H3" s="49"/>
      <c r="I3" s="49"/>
      <c r="Q3" s="106"/>
      <c r="R3" s="106"/>
      <c r="S3" s="106"/>
      <c r="T3" s="106"/>
      <c r="U3" s="106"/>
      <c r="V3" s="106"/>
      <c r="W3" s="106"/>
      <c r="X3" s="106"/>
      <c r="Y3" s="106"/>
      <c r="Z3" s="106"/>
      <c r="AA3" s="106"/>
      <c r="AB3" s="106"/>
      <c r="AC3" s="106"/>
      <c r="AD3" s="106"/>
      <c r="AE3" s="106"/>
      <c r="AF3" s="106"/>
      <c r="AG3" s="88"/>
    </row>
    <row r="4" spans="1:33" ht="13" customHeight="1" x14ac:dyDescent="0.15">
      <c r="A4" s="43" t="s">
        <v>54</v>
      </c>
      <c r="B4" s="46">
        <v>45845</v>
      </c>
      <c r="C4"/>
      <c r="H4" s="44"/>
      <c r="I4" s="44"/>
      <c r="Q4" s="106"/>
      <c r="R4" s="106"/>
      <c r="S4" s="106"/>
      <c r="T4" s="106"/>
      <c r="U4" s="106"/>
      <c r="V4" s="106"/>
      <c r="W4" s="106"/>
      <c r="X4" s="106"/>
      <c r="Y4" s="106"/>
      <c r="Z4" s="106"/>
      <c r="AA4" s="106"/>
      <c r="AB4" s="106"/>
      <c r="AC4" s="106"/>
      <c r="AD4" s="106"/>
      <c r="AE4" s="106"/>
      <c r="AF4" s="106"/>
      <c r="AG4" s="88"/>
    </row>
    <row r="5" spans="1:33" ht="7" customHeight="1" thickBot="1" x14ac:dyDescent="0.2">
      <c r="H5" s="44"/>
      <c r="I5" s="44"/>
      <c r="Q5" s="88"/>
      <c r="R5" s="88"/>
      <c r="S5" s="88"/>
      <c r="T5" s="88"/>
      <c r="U5" s="88"/>
      <c r="V5" s="88"/>
      <c r="W5" s="88"/>
      <c r="X5" s="88"/>
      <c r="Y5" s="88"/>
      <c r="Z5" s="88"/>
      <c r="AA5" s="88"/>
      <c r="AB5" s="88"/>
      <c r="AC5" s="88"/>
      <c r="AD5" s="88"/>
      <c r="AE5" s="88"/>
      <c r="AF5" s="88"/>
      <c r="AG5" s="88"/>
    </row>
    <row r="6" spans="1:33" ht="18" x14ac:dyDescent="0.2">
      <c r="A6" s="10" t="s">
        <v>15</v>
      </c>
      <c r="B6" s="30">
        <v>200</v>
      </c>
      <c r="C6">
        <f>IF(Brevet_Length&gt;=1200,Brevet_Length,IF(Brevet_Length&gt;=1000,1000,IF(Brevet_Length&gt;=600,600,IF(Brevet_Length&gt;=400,400,IF(Brevet_Length&gt;=300,300,IF(Brevet_Length&gt;=200,200,100))))))</f>
        <v>200</v>
      </c>
      <c r="J6" s="107" t="s">
        <v>40</v>
      </c>
      <c r="K6" s="107"/>
      <c r="Q6" s="86" t="s">
        <v>41</v>
      </c>
      <c r="R6" s="86"/>
      <c r="S6" s="86"/>
      <c r="T6" s="86"/>
      <c r="U6" s="86"/>
      <c r="V6" s="86"/>
      <c r="W6" s="86"/>
      <c r="X6" s="87"/>
      <c r="Y6" s="87"/>
      <c r="Z6" s="87"/>
    </row>
    <row r="7" spans="1:33" ht="14" x14ac:dyDescent="0.15">
      <c r="A7" s="11" t="s">
        <v>16</v>
      </c>
      <c r="B7" s="84">
        <f>IF(brevet=1200,90,IF(brevet=1000,75,IF(brevet=600,40,IF(brevet=400,27,IF(brevet=300,20,IF(brevet=200,13.5,IF(brevet&lt;200,L7,0)))))))</f>
        <v>13.5</v>
      </c>
      <c r="L7">
        <f>IF(Brevet_Length=150,10.5,IF(Brevet_Length=100,7,IF(Brevet_Length=50,3.5,IF(Brevet_Length=25, 2,0))))</f>
        <v>0</v>
      </c>
      <c r="Q7" s="87" t="s">
        <v>42</v>
      </c>
      <c r="R7" s="87"/>
      <c r="S7" s="87"/>
      <c r="T7" s="87"/>
      <c r="U7" s="87"/>
      <c r="V7" s="87"/>
      <c r="W7" s="87"/>
      <c r="X7" s="87"/>
      <c r="Y7" s="87"/>
      <c r="Z7" s="87"/>
    </row>
    <row r="8" spans="1:33" ht="18" x14ac:dyDescent="0.2">
      <c r="A8" s="83" t="s">
        <v>17</v>
      </c>
      <c r="B8" s="105" t="s">
        <v>79</v>
      </c>
      <c r="C8" s="105"/>
      <c r="D8" s="105"/>
      <c r="E8" s="105"/>
      <c r="F8" s="105"/>
      <c r="G8" s="85"/>
      <c r="H8" s="85"/>
      <c r="I8" s="16"/>
      <c r="J8" s="16"/>
      <c r="K8" s="16"/>
      <c r="Q8" s="86" t="s">
        <v>43</v>
      </c>
      <c r="R8" s="87"/>
      <c r="S8" s="87"/>
      <c r="T8" s="87"/>
      <c r="U8" s="87"/>
      <c r="V8" s="87"/>
      <c r="W8" s="87"/>
      <c r="X8" s="87"/>
      <c r="Y8" s="87"/>
      <c r="Z8" s="87"/>
    </row>
    <row r="9" spans="1:33" ht="18" x14ac:dyDescent="0.2">
      <c r="A9" s="11" t="s">
        <v>18</v>
      </c>
      <c r="B9" s="31">
        <v>5489</v>
      </c>
      <c r="C9" s="13"/>
      <c r="F9" s="14"/>
      <c r="G9" s="14"/>
      <c r="H9" s="14"/>
      <c r="I9" s="14"/>
      <c r="J9" s="14"/>
      <c r="K9" s="14"/>
      <c r="Q9" s="86" t="s">
        <v>44</v>
      </c>
      <c r="R9" s="87"/>
      <c r="S9" s="87"/>
      <c r="T9" s="87"/>
      <c r="U9" s="87"/>
      <c r="V9" s="87"/>
      <c r="W9" s="87"/>
      <c r="X9" s="87"/>
      <c r="Y9" s="87"/>
      <c r="Z9" s="87"/>
    </row>
    <row r="10" spans="1:33" ht="18" x14ac:dyDescent="0.2">
      <c r="A10" s="18" t="s">
        <v>32</v>
      </c>
      <c r="B10" s="32">
        <v>45850</v>
      </c>
      <c r="E10" s="80" t="s">
        <v>67</v>
      </c>
      <c r="F10" s="82" t="s">
        <v>80</v>
      </c>
      <c r="Q10" s="86" t="s">
        <v>45</v>
      </c>
      <c r="R10" s="87"/>
      <c r="S10" s="87"/>
      <c r="T10" s="87"/>
      <c r="U10" s="87"/>
      <c r="V10" s="87"/>
      <c r="W10" s="87"/>
      <c r="X10" s="87"/>
      <c r="Y10" s="87"/>
      <c r="Z10" s="87"/>
    </row>
    <row r="11" spans="1:33" ht="6" customHeight="1" x14ac:dyDescent="0.15">
      <c r="B11" s="45"/>
      <c r="Q11" s="87"/>
      <c r="R11" s="87"/>
      <c r="S11" s="87"/>
      <c r="T11" s="87"/>
      <c r="U11" s="87"/>
      <c r="V11" s="87"/>
      <c r="W11" s="87"/>
      <c r="X11" s="87"/>
      <c r="Y11" s="87"/>
      <c r="Z11" s="87"/>
    </row>
    <row r="12" spans="1:33" ht="18" customHeight="1" thickBot="1" x14ac:dyDescent="0.25">
      <c r="A12" s="41" t="s">
        <v>19</v>
      </c>
      <c r="B12" s="42">
        <v>45850</v>
      </c>
      <c r="Q12" s="86" t="s">
        <v>49</v>
      </c>
      <c r="R12" s="87"/>
      <c r="S12" s="87"/>
      <c r="T12" s="87"/>
      <c r="U12" s="87"/>
      <c r="V12" s="87"/>
      <c r="W12" s="87"/>
      <c r="X12" s="87"/>
      <c r="Y12" s="87"/>
      <c r="Z12" s="87"/>
    </row>
    <row r="13" spans="1:33" ht="19" thickBot="1" x14ac:dyDescent="0.25">
      <c r="A13" s="9" t="s">
        <v>20</v>
      </c>
      <c r="B13" s="33">
        <v>0.29166666666666669</v>
      </c>
      <c r="D13" s="108" t="s">
        <v>51</v>
      </c>
      <c r="E13" s="109"/>
      <c r="F13" s="109"/>
      <c r="G13" s="109"/>
      <c r="H13" s="109"/>
      <c r="I13" s="110" t="s">
        <v>47</v>
      </c>
      <c r="J13" s="109"/>
      <c r="K13" s="111"/>
      <c r="Q13" s="86" t="s">
        <v>48</v>
      </c>
      <c r="R13" s="87"/>
      <c r="S13" s="87"/>
      <c r="T13" s="87"/>
      <c r="U13" s="87"/>
      <c r="V13" s="87"/>
      <c r="W13" s="87"/>
      <c r="X13" s="87"/>
      <c r="Y13" s="87"/>
      <c r="Z13" s="87"/>
    </row>
    <row r="14" spans="1:33" ht="15" thickBot="1" x14ac:dyDescent="0.2">
      <c r="D14" s="5" t="s">
        <v>21</v>
      </c>
      <c r="E14" s="6" t="s">
        <v>22</v>
      </c>
      <c r="F14" s="24" t="s">
        <v>23</v>
      </c>
      <c r="G14" s="24" t="s">
        <v>24</v>
      </c>
      <c r="H14" s="25" t="s">
        <v>25</v>
      </c>
      <c r="I14" s="6" t="s">
        <v>37</v>
      </c>
      <c r="J14" s="6" t="s">
        <v>38</v>
      </c>
      <c r="K14" s="7" t="s">
        <v>39</v>
      </c>
      <c r="L14" t="s">
        <v>0</v>
      </c>
      <c r="M14" t="s">
        <v>1</v>
      </c>
      <c r="N14" t="s">
        <v>2</v>
      </c>
      <c r="O14" t="s">
        <v>3</v>
      </c>
      <c r="Q14" s="86" t="s">
        <v>68</v>
      </c>
      <c r="R14" s="87"/>
      <c r="S14" s="87"/>
      <c r="T14" s="87"/>
      <c r="U14" s="87"/>
      <c r="V14" s="87"/>
      <c r="W14" s="87"/>
      <c r="X14" s="87"/>
      <c r="Y14" s="87"/>
      <c r="Z14" s="87"/>
    </row>
    <row r="15" spans="1:33" ht="17" customHeight="1" x14ac:dyDescent="0.2">
      <c r="C15" s="2" t="s">
        <v>4</v>
      </c>
      <c r="D15" s="15">
        <v>0</v>
      </c>
      <c r="E15" s="34" t="s">
        <v>71</v>
      </c>
      <c r="F15" s="35" t="s">
        <v>82</v>
      </c>
      <c r="G15" s="35" t="s">
        <v>81</v>
      </c>
      <c r="H15" s="36" t="s">
        <v>72</v>
      </c>
      <c r="I15" s="103"/>
      <c r="J15" s="35"/>
      <c r="K15" s="36"/>
      <c r="L15" s="3">
        <f>Start_date+Start_time</f>
        <v>45850.291666666664</v>
      </c>
      <c r="M15" s="3">
        <f>L15+"1:00"</f>
        <v>45850.333333333328</v>
      </c>
      <c r="N15" s="4">
        <f>IF(ISBLANK(Distance),"",Open Control_1)</f>
        <v>45850.291666666664</v>
      </c>
      <c r="O15" s="4">
        <f>IF(ISBLANK(Distance),"",Close Control_1)</f>
        <v>45850.333333333328</v>
      </c>
      <c r="Q15" s="86" t="s">
        <v>70</v>
      </c>
      <c r="R15" s="87"/>
      <c r="S15" s="87"/>
      <c r="T15" s="87"/>
      <c r="U15" s="87"/>
      <c r="V15" s="87"/>
      <c r="W15" s="87"/>
      <c r="X15" s="87"/>
      <c r="Y15" s="87"/>
      <c r="Z15" s="87"/>
    </row>
    <row r="16" spans="1:33" ht="17" customHeight="1" x14ac:dyDescent="0.2">
      <c r="B16" s="38"/>
      <c r="C16" s="2" t="s">
        <v>5</v>
      </c>
      <c r="D16" s="15">
        <v>39.299999999999997</v>
      </c>
      <c r="E16" s="34" t="s">
        <v>73</v>
      </c>
      <c r="F16" s="35" t="s">
        <v>84</v>
      </c>
      <c r="G16" s="35" t="s">
        <v>83</v>
      </c>
      <c r="H16" s="36" t="s">
        <v>74</v>
      </c>
      <c r="I16" s="103" t="s">
        <v>90</v>
      </c>
      <c r="J16" s="35"/>
      <c r="K16" s="36" t="s">
        <v>93</v>
      </c>
      <c r="L16">
        <f>IF(ISBLANK(Distance),"",IF(Distance&gt;1000,(Distance-1000)/26+33.0847,(IF(Distance&gt;600,(Distance-600)/28+18.799,(IF(Distance&gt;400,(Distance-400)/30+12.1324,(IF(Distance&gt;200,(Distance-200)/32+5.8824,Distance/34))))))))</f>
        <v>1.1558823529411764</v>
      </c>
      <c r="M16">
        <f>IF(ISBLANK(Distance),"",IF(Distance&gt;=brevet,D16200IF(brevet&gt;1200,(brevet-1200)*75/1000+90,Max_time),IF(Distance&gt;1200,(Distance-1200)*75/1000+90,IF(Distance&gt;1000,(Distance-1000)/(1000/75)+75,IF(Distance&gt;600,(Distance-600)/(400/35)+40,IF(Distance&lt;=60,(Distance/20+1),Distance/15))))))</f>
        <v>2.9649999999999999</v>
      </c>
      <c r="N16" s="4">
        <f>IF(ISBLANK(Distance),"",Open_time Control_1+(INT(Open)&amp;":"&amp;IF(ROUND(((Open-INT(Open))*60),0)&lt;10,0,"")&amp;ROUND(((Open-INT(Open))*60),0)))</f>
        <v>45850.339583333334</v>
      </c>
      <c r="O16" s="4">
        <f>IF(ISBLANK(Distance),"",Open_time Control_1+(INT(Close)&amp;":"&amp;IF(ROUND(((Close-INT(Close))*60),0)&lt;10,0,"")&amp;ROUND(((Close-INT(Close))*60),0)))</f>
        <v>45850.415277777778</v>
      </c>
      <c r="Q16" s="86" t="s">
        <v>69</v>
      </c>
      <c r="R16" s="87"/>
      <c r="S16" s="87"/>
      <c r="T16" s="87"/>
      <c r="U16" s="87"/>
      <c r="V16" s="87"/>
      <c r="W16" s="87"/>
      <c r="X16" s="87"/>
      <c r="Y16" s="87"/>
      <c r="Z16" s="87"/>
    </row>
    <row r="17" spans="2:26" ht="17" customHeight="1" x14ac:dyDescent="0.2">
      <c r="B17" s="38"/>
      <c r="C17" s="2" t="s">
        <v>6</v>
      </c>
      <c r="D17" s="15">
        <v>95.1</v>
      </c>
      <c r="E17" s="34" t="s">
        <v>87</v>
      </c>
      <c r="F17" s="35" t="s">
        <v>84</v>
      </c>
      <c r="G17" s="35" t="s">
        <v>88</v>
      </c>
      <c r="H17" s="36" t="s">
        <v>91</v>
      </c>
      <c r="I17" s="103" t="s">
        <v>92</v>
      </c>
      <c r="J17" s="35"/>
      <c r="K17" s="36" t="s">
        <v>95</v>
      </c>
      <c r="L17">
        <f>IF(ISBLANK(Distance),"",IF(Distance&gt;1000,(Distance-1000)/26+33.0847,(IF(Distance&gt;600,(Distance-600)/28+18.799,(IF(Distance&gt;400,(Distance-400)/30+12.1324,(IF(Distance&gt;200,(Distance-200)/32+5.8824,Distance/34))))))))</f>
        <v>2.7970588235294116</v>
      </c>
      <c r="M17">
        <f t="shared" ref="M17:M24" si="0">IF(ISBLANK(Distance),"",IF(Distance&gt;=brevet,IF(brevet&gt;1200,(brevet-1200)*75/1000+90,Max_time),IF(Distance&gt;1200,(Distance-1200)*75/1000+90,IF(Distance&gt;1000,(Distance-1000)/(1000/75)+75,IF(Distance&gt;600,(Distance-600)/(400/35)+40,IF(Distance&lt;=60,(Distance/20+1),Distance/15))))))</f>
        <v>6.34</v>
      </c>
      <c r="N17" s="4">
        <f>IF(ISBLANK(Distance),"",Open_time Control_1+(INT(Open)&amp;":"&amp;IF(ROUND(((Open-INT(Open))*60),0)&lt;10,0,"")&amp;ROUND(((Open-INT(Open))*60),0)))</f>
        <v>45850.408333333333</v>
      </c>
      <c r="O17" s="4">
        <f>IF(ISBLANK(Distance),"",Open_time Control_1+(INT(Close)&amp;":"&amp;IF(ROUND(((Close-INT(Close))*60),0)&lt;10,0,"")&amp;ROUND(((Close-INT(Close))*60),0)))</f>
        <v>45850.555555555555</v>
      </c>
      <c r="Q17" s="86" t="s">
        <v>46</v>
      </c>
      <c r="R17" s="87"/>
      <c r="S17" s="87"/>
      <c r="T17" s="87"/>
      <c r="U17" s="87"/>
      <c r="V17" s="87"/>
      <c r="W17" s="87"/>
      <c r="X17" s="87"/>
      <c r="Y17" s="87"/>
      <c r="Z17" s="87"/>
    </row>
    <row r="18" spans="2:26" ht="17" customHeight="1" x14ac:dyDescent="0.2">
      <c r="B18" s="38"/>
      <c r="C18" s="2" t="s">
        <v>7</v>
      </c>
      <c r="D18" s="15">
        <v>135.4</v>
      </c>
      <c r="E18" s="34" t="s">
        <v>75</v>
      </c>
      <c r="F18" s="35" t="s">
        <v>84</v>
      </c>
      <c r="G18" s="35" t="s">
        <v>89</v>
      </c>
      <c r="H18" s="36" t="s">
        <v>76</v>
      </c>
      <c r="I18" s="103" t="s">
        <v>77</v>
      </c>
      <c r="J18" s="35"/>
      <c r="K18" s="36" t="s">
        <v>94</v>
      </c>
      <c r="L18">
        <f t="shared" ref="L18:L24" si="1">IF(ISBLANK(Distance),"",IF(Distance&gt;1000,(Distance-1000)/26+33.0847,(IF(Distance&gt;600,(Distance-600)/28+18.799,(IF(Distance&gt;400,(Distance-400)/30+12.1324,(IF(Distance&gt;200,(Distance-200)/32+5.8824,Distance/34))))))))</f>
        <v>3.9823529411764707</v>
      </c>
      <c r="M18">
        <f t="shared" si="0"/>
        <v>9.0266666666666673</v>
      </c>
      <c r="N18" s="4">
        <f>IF(ISBLANK(Distance),"",Open_time Control_1+(INT(Open)&amp;":"&amp;IF(ROUND(((Open-INT(Open))*60),0)&lt;10,0,"")&amp;ROUND(((Open-INT(Open))*60),0)))</f>
        <v>45850.457638888889</v>
      </c>
      <c r="O18" s="4">
        <f>IF(ISBLANK(Distance),"",Open_time Control_1+(INT(Close)&amp;":"&amp;IF(ROUND(((Close-INT(Close))*60),0)&lt;10,0,"")&amp;ROUND(((Close-INT(Close))*60),0)))</f>
        <v>45850.66805555555</v>
      </c>
    </row>
    <row r="19" spans="2:26" ht="17" customHeight="1" x14ac:dyDescent="0.2">
      <c r="B19" s="38"/>
      <c r="C19" s="2" t="s">
        <v>8</v>
      </c>
      <c r="D19" s="15">
        <v>150.19999999999999</v>
      </c>
      <c r="E19" s="34" t="s">
        <v>78</v>
      </c>
      <c r="F19" s="35" t="s">
        <v>86</v>
      </c>
      <c r="G19" s="35" t="s">
        <v>85</v>
      </c>
      <c r="H19" s="36"/>
      <c r="I19" s="103"/>
      <c r="J19" s="35"/>
      <c r="K19" s="36"/>
      <c r="L19">
        <f t="shared" si="1"/>
        <v>4.4176470588235288</v>
      </c>
      <c r="M19">
        <f t="shared" si="0"/>
        <v>10.013333333333332</v>
      </c>
      <c r="N19" s="4">
        <f>IF(ISBLANK(Distance),"",Open_time Control_1+(INT(Open)&amp;":"&amp;IF(ROUND(((Open-INT(Open))*60),0)&lt;10,0,"")&amp;ROUND(((Open-INT(Open))*60),0)))</f>
        <v>45850.475694444445</v>
      </c>
      <c r="O19" s="4">
        <f>IF(ISBLANK(Distance),"",Open_time Control_1+(INT(Close)&amp;":"&amp;IF(ROUND(((Close-INT(Close))*60),0)&lt;10,0,"")&amp;ROUND(((Close-INT(Close))*60),0)))</f>
        <v>45850.709027777775</v>
      </c>
      <c r="Q19" s="40"/>
    </row>
    <row r="20" spans="2:26" ht="17" customHeight="1" x14ac:dyDescent="0.2">
      <c r="B20" s="38"/>
      <c r="C20" s="2" t="s">
        <v>9</v>
      </c>
      <c r="D20" s="15">
        <v>201.8</v>
      </c>
      <c r="E20" s="34" t="s">
        <v>71</v>
      </c>
      <c r="F20" s="35" t="s">
        <v>86</v>
      </c>
      <c r="G20" s="35" t="s">
        <v>81</v>
      </c>
      <c r="H20" s="36" t="s">
        <v>72</v>
      </c>
      <c r="I20" s="103"/>
      <c r="J20" s="35"/>
      <c r="K20" s="36"/>
      <c r="L20">
        <f t="shared" si="1"/>
        <v>5.93865</v>
      </c>
      <c r="M20">
        <f t="shared" si="0"/>
        <v>13.5</v>
      </c>
      <c r="N20" s="4">
        <f>IF(ISBLANK(Distance),"",Open_time Control_1+(INT(Open)&amp;":"&amp;IF(ROUND(((Open-INT(Open))*60),0)&lt;10,0,"")&amp;ROUND(((Open-INT(Open))*60),0)))</f>
        <v>45850.538888888885</v>
      </c>
      <c r="O20" s="4">
        <f>IF(ISBLANK(Distance),"",Open_time Control_1+(INT(Close)&amp;":"&amp;IF(ROUND(((Close-INT(Close))*60),0)&lt;10,0,"")&amp;ROUND(((Close-INT(Close))*60),0)))</f>
        <v>45850.854166666664</v>
      </c>
    </row>
    <row r="21" spans="2:26" ht="17" customHeight="1" x14ac:dyDescent="0.15">
      <c r="B21" s="38"/>
      <c r="C21" s="2" t="s">
        <v>10</v>
      </c>
      <c r="D21" s="15"/>
      <c r="E21" s="34"/>
      <c r="F21" s="35"/>
      <c r="G21" s="35"/>
      <c r="H21" s="36"/>
      <c r="I21" s="35"/>
      <c r="J21" s="35"/>
      <c r="K21" s="36"/>
      <c r="L21" t="str">
        <f t="shared" si="1"/>
        <v/>
      </c>
      <c r="M21" t="str">
        <f t="shared" si="0"/>
        <v/>
      </c>
      <c r="N21" s="4" t="str">
        <f>IF(ISBLANK(Distance),"",Open_time Control_1+(INT(Open)&amp;":"&amp;IF(ROUND(((Open-INT(Open))*60),0)&lt;10,0,"")&amp;ROUND(((Open-INT(Open))*60),0)))</f>
        <v/>
      </c>
      <c r="O21" s="4" t="str">
        <f>IF(ISBLANK(Distance),"",Open_time Control_1+(INT(Close)&amp;":"&amp;IF(ROUND(((Close-INT(Close))*60),0)&lt;10,0,"")&amp;ROUND(((Close-INT(Close))*60),0)))</f>
        <v/>
      </c>
    </row>
    <row r="22" spans="2:26" ht="17" customHeight="1" x14ac:dyDescent="0.15">
      <c r="B22" s="38"/>
      <c r="C22" s="2" t="s">
        <v>11</v>
      </c>
      <c r="D22" s="15"/>
      <c r="E22" s="34"/>
      <c r="F22" s="35"/>
      <c r="G22" s="35"/>
      <c r="H22" s="36"/>
      <c r="I22" s="35"/>
      <c r="J22" s="35"/>
      <c r="K22" s="36"/>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15">
      <c r="B23" s="38"/>
      <c r="C23" s="2" t="s">
        <v>12</v>
      </c>
      <c r="D23" s="15"/>
      <c r="E23" s="34"/>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38"/>
      <c r="C24" s="2" t="s">
        <v>13</v>
      </c>
      <c r="D24" s="20"/>
      <c r="E24" s="37"/>
      <c r="F24" s="35"/>
      <c r="G24" s="35"/>
      <c r="H24" s="36"/>
      <c r="I24" s="36"/>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6"/>
      <c r="E25" s="27"/>
      <c r="F25" s="28"/>
      <c r="G25" s="28"/>
      <c r="H25" s="28"/>
      <c r="I25" s="28"/>
      <c r="J25" s="28"/>
      <c r="K25" s="29"/>
      <c r="N25" s="4"/>
      <c r="O25" s="4"/>
    </row>
  </sheetData>
  <sheetProtection formatCells="0" selectLockedCells="1"/>
  <mergeCells count="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view="pageLayout" zoomScale="75" zoomScaleNormal="115" zoomScalePageLayoutView="75" workbookViewId="0">
      <selection activeCell="G21" sqref="G21:I21"/>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5"/>
      <c r="L1" s="75"/>
      <c r="M1" s="75"/>
    </row>
    <row r="2" spans="2:15" ht="18" x14ac:dyDescent="0.2">
      <c r="C2" s="112" t="s">
        <v>33</v>
      </c>
      <c r="D2" s="112"/>
      <c r="E2" s="112"/>
      <c r="F2" s="112"/>
      <c r="G2" s="55"/>
      <c r="H2" s="55"/>
      <c r="I2" s="78" t="s">
        <v>59</v>
      </c>
      <c r="J2" s="79">
        <f>'Control Entry'!B4</f>
        <v>45845</v>
      </c>
      <c r="K2" s="55"/>
      <c r="L2" s="55"/>
    </row>
    <row r="3" spans="2:15" ht="45" customHeight="1" x14ac:dyDescent="0.45">
      <c r="D3" s="12"/>
      <c r="E3" s="121" t="s">
        <v>29</v>
      </c>
      <c r="F3" s="121"/>
      <c r="G3" s="121"/>
      <c r="H3" s="121"/>
      <c r="I3" s="66" t="s">
        <v>61</v>
      </c>
      <c r="J3" s="71">
        <f>IF(ISBLANK(Brevet_Number),"",Brevet_Number)</f>
        <v>5489</v>
      </c>
      <c r="K3" s="39"/>
      <c r="L3" s="39"/>
    </row>
    <row r="4" spans="2:15" ht="20" customHeight="1" x14ac:dyDescent="0.15">
      <c r="C4" s="12"/>
      <c r="E4" s="122" t="str">
        <f>IF(ISBLANK(Brevet_Length),"",Brevet_Length&amp;" km Randonnée")</f>
        <v>200 km Randonnée</v>
      </c>
      <c r="F4" s="122"/>
      <c r="G4" s="122"/>
      <c r="H4" s="122"/>
      <c r="K4" s="51"/>
      <c r="L4" s="51"/>
    </row>
    <row r="5" spans="2:15" ht="20" customHeight="1" x14ac:dyDescent="0.2">
      <c r="D5" s="52"/>
      <c r="E5" s="120" t="str">
        <f>IF(ISBLANK(Brevet_Description),"",Brevet_Description)</f>
        <v>It's just around the corner</v>
      </c>
      <c r="F5" s="120"/>
      <c r="G5" s="120"/>
      <c r="H5" s="120"/>
      <c r="I5" s="74"/>
      <c r="J5" s="52"/>
      <c r="K5" s="52"/>
      <c r="L5" s="52"/>
    </row>
    <row r="6" spans="2:15" ht="20" x14ac:dyDescent="0.2">
      <c r="D6" s="67"/>
      <c r="E6" s="120"/>
      <c r="F6" s="120"/>
      <c r="G6" s="120"/>
      <c r="H6" s="120"/>
      <c r="I6" s="74"/>
      <c r="J6" s="67"/>
      <c r="K6" s="52"/>
      <c r="L6" s="52"/>
    </row>
    <row r="7" spans="2:15" ht="25" customHeight="1" x14ac:dyDescent="0.15">
      <c r="C7" s="116"/>
      <c r="D7" s="116"/>
      <c r="E7" s="116"/>
      <c r="F7" s="116"/>
      <c r="H7" s="118"/>
    </row>
    <row r="8" spans="2:15" ht="21" thickBot="1" x14ac:dyDescent="0.25">
      <c r="B8" s="17" t="s">
        <v>62</v>
      </c>
      <c r="C8" s="117"/>
      <c r="D8" s="117"/>
      <c r="E8" s="117"/>
      <c r="F8" s="117"/>
      <c r="G8" s="17" t="s">
        <v>31</v>
      </c>
      <c r="H8" s="119"/>
      <c r="I8" s="53"/>
      <c r="J8" s="53"/>
      <c r="K8" s="53"/>
    </row>
    <row r="9" spans="2:15" ht="22" customHeight="1" x14ac:dyDescent="0.15">
      <c r="B9" s="58"/>
      <c r="C9" s="58"/>
      <c r="D9" s="58"/>
      <c r="E9" s="58"/>
      <c r="F9" s="54"/>
      <c r="G9" s="60"/>
      <c r="H9" s="60"/>
      <c r="I9" s="60"/>
      <c r="J9" s="54"/>
    </row>
    <row r="10" spans="2:15" ht="20" customHeight="1" x14ac:dyDescent="0.15">
      <c r="B10" s="114" t="s">
        <v>34</v>
      </c>
      <c r="C10" s="114"/>
      <c r="D10" s="64" t="s">
        <v>35</v>
      </c>
      <c r="E10" s="115" t="s">
        <v>58</v>
      </c>
      <c r="F10" s="115"/>
      <c r="G10" s="115"/>
      <c r="H10" s="70"/>
      <c r="I10" s="59"/>
      <c r="J10" s="59"/>
      <c r="K10" s="19"/>
      <c r="L10" s="123"/>
      <c r="M10" s="123"/>
      <c r="N10" s="123"/>
      <c r="O10" s="123"/>
    </row>
    <row r="11" spans="2:15" ht="23" x14ac:dyDescent="0.15">
      <c r="B11" s="58"/>
      <c r="C11" s="58"/>
      <c r="D11" s="58"/>
      <c r="E11" s="58"/>
      <c r="F11" s="54"/>
      <c r="G11" s="60"/>
      <c r="H11" s="60"/>
      <c r="I11" s="60"/>
      <c r="J11" s="54"/>
    </row>
    <row r="12" spans="2:15" ht="21" thickBot="1" x14ac:dyDescent="0.25">
      <c r="D12" s="137" t="s">
        <v>19</v>
      </c>
      <c r="E12" s="137"/>
      <c r="F12" s="69">
        <f>IF(ISBLANK('Control Entry'!B12),"",'Control Entry'!B12)</f>
        <v>45850</v>
      </c>
      <c r="G12" s="73"/>
      <c r="H12" s="17" t="s">
        <v>64</v>
      </c>
      <c r="I12" s="68">
        <f>IF(ISBLANK('Control Entry'!B13),"",'Control Entry'!B13)</f>
        <v>0.29166666666666669</v>
      </c>
      <c r="J12" s="23"/>
    </row>
    <row r="13" spans="2:15" ht="20" x14ac:dyDescent="0.2">
      <c r="D13" s="22"/>
      <c r="E13" s="22"/>
      <c r="F13" s="21"/>
      <c r="G13" s="21"/>
      <c r="H13" s="21"/>
      <c r="L13" s="23"/>
      <c r="M13" s="23"/>
      <c r="N13" s="23"/>
    </row>
    <row r="14" spans="2:15" ht="21" thickBot="1" x14ac:dyDescent="0.25">
      <c r="D14" s="137" t="s">
        <v>63</v>
      </c>
      <c r="E14" s="137"/>
      <c r="F14" s="69"/>
      <c r="G14" s="73"/>
      <c r="H14" s="17" t="s">
        <v>65</v>
      </c>
      <c r="I14" s="68"/>
      <c r="J14" s="23"/>
      <c r="L14" s="45"/>
      <c r="M14" s="45"/>
      <c r="N14" s="45"/>
    </row>
    <row r="15" spans="2:15" ht="20" x14ac:dyDescent="0.2">
      <c r="B15" s="22"/>
      <c r="C15" s="22"/>
      <c r="D15" s="21"/>
      <c r="E15" s="21"/>
      <c r="H15" s="21"/>
    </row>
    <row r="16" spans="2:15" ht="21" thickBot="1" x14ac:dyDescent="0.25">
      <c r="C16" s="65"/>
      <c r="D16" s="65"/>
      <c r="E16" s="65"/>
      <c r="F16" s="65"/>
      <c r="H16" s="17" t="s">
        <v>66</v>
      </c>
      <c r="I16" s="68"/>
      <c r="J16" s="23"/>
      <c r="L16" s="45"/>
      <c r="M16" s="45"/>
      <c r="N16" s="45"/>
    </row>
    <row r="17" spans="2:15" ht="20" x14ac:dyDescent="0.15">
      <c r="C17" s="138" t="s">
        <v>14</v>
      </c>
      <c r="D17" s="138"/>
      <c r="E17" s="138"/>
      <c r="F17" s="138"/>
      <c r="G17" s="19"/>
      <c r="H17" s="19"/>
      <c r="I17" s="133"/>
      <c r="J17" s="133"/>
      <c r="K17" s="19"/>
      <c r="L17" s="123"/>
      <c r="M17" s="123"/>
      <c r="N17" s="123"/>
      <c r="O17" s="123"/>
    </row>
    <row r="18" spans="2:15" ht="6" customHeight="1" thickBot="1" x14ac:dyDescent="0.2">
      <c r="B18" s="61"/>
      <c r="C18" s="61"/>
      <c r="D18" s="61"/>
      <c r="E18" s="61"/>
      <c r="F18" s="62"/>
      <c r="G18" s="63"/>
      <c r="H18" s="63"/>
      <c r="I18" s="63"/>
      <c r="J18" s="62"/>
    </row>
    <row r="19" spans="2:15" ht="22" thickTop="1" thickBot="1" x14ac:dyDescent="0.2">
      <c r="B19" s="113" t="s">
        <v>50</v>
      </c>
      <c r="C19" s="113"/>
      <c r="D19" s="113"/>
      <c r="E19" s="113"/>
      <c r="F19" s="113"/>
      <c r="G19" s="113"/>
      <c r="H19" s="113"/>
      <c r="I19" s="113"/>
      <c r="J19" s="113"/>
    </row>
    <row r="20" spans="2:15" ht="20" thickBot="1" x14ac:dyDescent="0.25">
      <c r="B20" s="50" t="s">
        <v>26</v>
      </c>
      <c r="C20" s="8" t="s">
        <v>0</v>
      </c>
      <c r="D20" s="8" t="s">
        <v>1</v>
      </c>
      <c r="E20" s="8" t="s">
        <v>22</v>
      </c>
      <c r="F20" s="8" t="s">
        <v>27</v>
      </c>
      <c r="G20" s="134" t="s">
        <v>36</v>
      </c>
      <c r="H20" s="135"/>
      <c r="I20" s="136"/>
      <c r="J20" s="50" t="s">
        <v>28</v>
      </c>
    </row>
    <row r="21" spans="2:15" ht="40" customHeight="1" x14ac:dyDescent="0.25">
      <c r="B21" s="89"/>
      <c r="C21" s="101">
        <f>Control_1 Open_time</f>
        <v>45850.291666666664</v>
      </c>
      <c r="D21" s="101">
        <f>Control_1 Close_time</f>
        <v>45850.333333333328</v>
      </c>
      <c r="E21" s="90"/>
      <c r="F21" s="91" t="str">
        <f>IF(ISBLANK(Control_1 Establishment_1),"",Control_1 Establishment_1)</f>
        <v>STAFFED</v>
      </c>
      <c r="G21" s="127" t="str">
        <f>IF(ISBLANK('Control Entry'!I15),"",'Control Entry'!I15)</f>
        <v/>
      </c>
      <c r="H21" s="128"/>
      <c r="I21" s="129"/>
      <c r="J21" s="92"/>
    </row>
    <row r="22" spans="2:15" ht="40" customHeight="1" x14ac:dyDescent="0.25">
      <c r="B22" s="93">
        <f>IF(ISBLANK(Distance Control_1),"",Control_1 Distance)</f>
        <v>0</v>
      </c>
      <c r="C22" s="94">
        <f>Control_1 Open_time</f>
        <v>45850.291666666664</v>
      </c>
      <c r="D22" s="94">
        <f>Control_1 Close_time</f>
        <v>45850.333333333328</v>
      </c>
      <c r="E22" s="91" t="str">
        <f>IF(ISBLANK(Locale Control_1),"",Locale Control_1)</f>
        <v>DUNCAN</v>
      </c>
      <c r="F22" s="91" t="str">
        <f>IF(ISBLANK(Control_1 Establishment_2),"",Control_1 Establishment_2)</f>
        <v>Tim Hortons Berkey's Corner</v>
      </c>
      <c r="G22" s="130" t="str">
        <f>IF(ISBLANK('Control Entry'!J15),"",'Control Entry'!J15)</f>
        <v/>
      </c>
      <c r="H22" s="131"/>
      <c r="I22" s="132"/>
      <c r="J22" s="95"/>
    </row>
    <row r="23" spans="2:15" ht="40" customHeight="1" thickBot="1" x14ac:dyDescent="0.3">
      <c r="B23" s="96"/>
      <c r="C23" s="102">
        <f>Control_1 Open_time</f>
        <v>45850.291666666664</v>
      </c>
      <c r="D23" s="102">
        <f>Control_1 Close_time</f>
        <v>45850.333333333328</v>
      </c>
      <c r="E23" s="97"/>
      <c r="F23" s="98" t="str">
        <f>IF(ISBLANK(Control_1 Establishment_3),"",Control_1 Establishment_3)</f>
        <v>3320 Cowichan Lake Rd</v>
      </c>
      <c r="G23" s="124" t="str">
        <f>IF(ISBLANK('Control Entry'!K15),"",'Control Entry'!K15)</f>
        <v/>
      </c>
      <c r="H23" s="125"/>
      <c r="I23" s="126"/>
      <c r="J23" s="99"/>
    </row>
    <row r="24" spans="2:15" ht="40" customHeight="1" x14ac:dyDescent="0.25">
      <c r="B24" s="89"/>
      <c r="C24" s="101">
        <f>Control_2 Open_time</f>
        <v>45850.339583333334</v>
      </c>
      <c r="D24" s="101">
        <f>Control_2 Close_time</f>
        <v>45850.415277777778</v>
      </c>
      <c r="E24" s="100"/>
      <c r="F24" s="91" t="str">
        <f>IF(ISBLANK(Control_2 Establishment_1),"",Control_2 Establishment_1)</f>
        <v>INFORMATION</v>
      </c>
      <c r="G24" s="127" t="str">
        <f>IF(ISBLANK('Control Entry'!I16),"",'Control Entry'!I16)</f>
        <v>Top listing on map legend?</v>
      </c>
      <c r="H24" s="128"/>
      <c r="I24" s="129"/>
      <c r="J24" s="92"/>
    </row>
    <row r="25" spans="2:15" ht="40" customHeight="1" x14ac:dyDescent="0.25">
      <c r="B25" s="93">
        <f>IF(ISBLANK(Distance Control_2),"",Control_2 Distance)</f>
        <v>39.299999999999997</v>
      </c>
      <c r="C25" s="94">
        <f>Control_2 Open_time</f>
        <v>45850.339583333334</v>
      </c>
      <c r="D25" s="94">
        <f>Control_2 Close_time</f>
        <v>45850.415277777778</v>
      </c>
      <c r="E25" s="91" t="str">
        <f>IF(ISBLANK(Locale Control_2),"",Locale Control_2)</f>
        <v>GORDON BAY</v>
      </c>
      <c r="F25" s="91" t="str">
        <f>IF(ISBLANK(Control_2 Establishment_2),"",Control_2 Establishment_2)</f>
        <v>Gordon Bay Day Use area</v>
      </c>
      <c r="G25" s="130" t="str">
        <f>IF(ISBLANK('Control Entry'!J16),"",'Control Entry'!J16)</f>
        <v/>
      </c>
      <c r="H25" s="131"/>
      <c r="I25" s="132"/>
      <c r="J25" s="95"/>
    </row>
    <row r="26" spans="2:15" ht="40" customHeight="1" thickBot="1" x14ac:dyDescent="0.3">
      <c r="B26" s="96"/>
      <c r="C26" s="102">
        <f>Control_2 Open_time</f>
        <v>45850.339583333334</v>
      </c>
      <c r="D26" s="102">
        <f>Control_2 Close_time</f>
        <v>45850.415277777778</v>
      </c>
      <c r="E26" s="97"/>
      <c r="F26" s="98" t="str">
        <f>IF(ISBLANK(Control_2 Establishment_3),"",Control_2 Establishment_3)</f>
        <v>Sign at washoom</v>
      </c>
      <c r="G26" s="124" t="str">
        <f>IF(ISBLANK('Control Entry'!K16),"",'Control Entry'!K16)</f>
        <v>Toilets      Parking      Fishing</v>
      </c>
      <c r="H26" s="125"/>
      <c r="I26" s="126"/>
      <c r="J26" s="99"/>
    </row>
    <row r="27" spans="2:15" ht="40" customHeight="1" x14ac:dyDescent="0.25">
      <c r="B27" s="89"/>
      <c r="C27" s="101">
        <f>Control_3 Open_time</f>
        <v>45850.408333333333</v>
      </c>
      <c r="D27" s="101">
        <f>Control_3 Close_time</f>
        <v>45850.555555555555</v>
      </c>
      <c r="E27" s="100"/>
      <c r="F27" s="91" t="str">
        <f>IF(ISBLANK(Control_3 Establishment_1),"",Control_3 Establishment_1)</f>
        <v>INFORMATION</v>
      </c>
      <c r="G27" s="127" t="str">
        <f>IF(ISBLANK('Control Entry'!I17),"",'Control Entry'!I17)</f>
        <v>Cowichan Valley _____?</v>
      </c>
      <c r="H27" s="128"/>
      <c r="I27" s="129"/>
      <c r="J27" s="92"/>
    </row>
    <row r="28" spans="2:15" ht="40" customHeight="1" x14ac:dyDescent="0.25">
      <c r="B28" s="93">
        <f>IF(ISBLANK(Distance Control_3),"",Control_3 Distance)</f>
        <v>95.1</v>
      </c>
      <c r="C28" s="94">
        <f>Control_3 Open_time</f>
        <v>45850.408333333333</v>
      </c>
      <c r="D28" s="94">
        <f>Control_3 Close_time</f>
        <v>45850.555555555555</v>
      </c>
      <c r="E28" s="91" t="str">
        <f>IF(ISBLANK(Locale Control_3),"",Locale Control_3)</f>
        <v>NORTH COWICHAN</v>
      </c>
      <c r="F28" s="91" t="str">
        <f>IF(ISBLANK(Control_3 Establishment_2),"",Control_3 Establishment_2)</f>
        <v>Mays Rd @ Relke Rd</v>
      </c>
      <c r="G28" s="130" t="str">
        <f>IF(ISBLANK('Control Entry'!J17),"",'Control Entry'!J17)</f>
        <v/>
      </c>
      <c r="H28" s="131"/>
      <c r="I28" s="132"/>
      <c r="J28" s="95"/>
    </row>
    <row r="29" spans="2:15" ht="40" customHeight="1" thickBot="1" x14ac:dyDescent="0.3">
      <c r="B29" s="96"/>
      <c r="C29" s="102">
        <f>Control_3 Open_time</f>
        <v>45850.408333333333</v>
      </c>
      <c r="D29" s="102">
        <f>Control_3 Close_time</f>
        <v>45850.555555555555</v>
      </c>
      <c r="E29" s="97"/>
      <c r="F29" s="98" t="str">
        <f>IF(ISBLANK(Control_3 Establishment_3),"",Control_3 Establishment_3)</f>
        <v>Newspaper box</v>
      </c>
      <c r="G29" s="124" t="str">
        <f>IF(ISBLANK('Control Entry'!K17),"",'Control Entry'!K17)</f>
        <v>Leader       Report       Citizen</v>
      </c>
      <c r="H29" s="125"/>
      <c r="I29" s="126"/>
      <c r="J29" s="99"/>
    </row>
    <row r="30" spans="2:15" ht="40" customHeight="1" x14ac:dyDescent="0.25">
      <c r="B30" s="89"/>
      <c r="C30" s="101">
        <f>Control_4 Open_time</f>
        <v>45850.457638888889</v>
      </c>
      <c r="D30" s="101">
        <f>Control_4 Close_time</f>
        <v>45850.66805555555</v>
      </c>
      <c r="E30" s="100"/>
      <c r="F30" s="91" t="str">
        <f>IF(ISBLANK(Control_4 Establishment_1),"",Control_4 Establishment_1)</f>
        <v>INFORMATION</v>
      </c>
      <c r="G30" s="127" t="str">
        <f>IF(ISBLANK('Control Entry'!I18),"",'Control Entry'!I18)</f>
        <v>How many native species pictured?</v>
      </c>
      <c r="H30" s="128"/>
      <c r="I30" s="129"/>
      <c r="J30" s="92"/>
    </row>
    <row r="31" spans="2:15" ht="40" customHeight="1" x14ac:dyDescent="0.25">
      <c r="B31" s="93">
        <f>IF(ISBLANK(Distance Control_4),"",Control_4 Distance)</f>
        <v>135.4</v>
      </c>
      <c r="C31" s="94">
        <f>Control_4 Open_time</f>
        <v>45850.457638888889</v>
      </c>
      <c r="D31" s="94">
        <f>Control_4 Close_time</f>
        <v>45850.66805555555</v>
      </c>
      <c r="E31" s="91" t="str">
        <f>IF(ISBLANK(Locale Control_4),"",Locale Control_4)</f>
        <v>YELLOW POINT</v>
      </c>
      <c r="F31" s="91" t="str">
        <f>IF(ISBLANK(Control_4 Establishment_2),"",Control_4 Establishment_2)</f>
        <v>Yellow Pt Park, 4151 Yellow Pt Rd</v>
      </c>
      <c r="G31" s="141" t="str">
        <f>IF(ISBLANK('Control Entry'!J18),"",'Control Entry'!J18)</f>
        <v/>
      </c>
      <c r="H31" s="142"/>
      <c r="I31" s="143"/>
      <c r="J31" s="95"/>
    </row>
    <row r="32" spans="2:15" ht="40" customHeight="1" thickBot="1" x14ac:dyDescent="0.3">
      <c r="B32" s="96"/>
      <c r="C32" s="102">
        <f>Control_4 Open_time</f>
        <v>45850.457638888889</v>
      </c>
      <c r="D32" s="102">
        <f>Control_4 Close_time</f>
        <v>45850.66805555555</v>
      </c>
      <c r="E32" s="97"/>
      <c r="F32" s="98" t="str">
        <f>IF(ISBLANK(Control_4 Establishment_3),"",Control_4 Establishment_3)</f>
        <v>Info sign</v>
      </c>
      <c r="G32" s="124" t="str">
        <f>IF(ISBLANK('Control Entry'!K18),"",'Control Entry'!K18)</f>
        <v>0       3       6</v>
      </c>
      <c r="H32" s="125"/>
      <c r="I32" s="126"/>
      <c r="J32" s="99"/>
    </row>
    <row r="33" spans="2:10" ht="40" customHeight="1" x14ac:dyDescent="0.25">
      <c r="B33" s="89"/>
      <c r="C33" s="101">
        <f>Control_5 Open_time</f>
        <v>45850.475694444445</v>
      </c>
      <c r="D33" s="101">
        <f>Control_5 Close_time</f>
        <v>45850.709027777775</v>
      </c>
      <c r="E33" s="100"/>
      <c r="F33" s="91" t="str">
        <f>IF(ISBLANK(Control_5 Establishment_1),"",Control_5 Establishment_1)</f>
        <v>BUSINESS</v>
      </c>
      <c r="G33" s="127" t="str">
        <f>IF(ISBLANK('Control Entry'!I19),"",'Control Entry'!I19)</f>
        <v/>
      </c>
      <c r="H33" s="128"/>
      <c r="I33" s="129"/>
      <c r="J33" s="92"/>
    </row>
    <row r="34" spans="2:10" ht="40" customHeight="1" x14ac:dyDescent="0.25">
      <c r="B34" s="93">
        <f>IF(ISBLANK(Distance Control_5),"",Control_5 Distance)</f>
        <v>150.19999999999999</v>
      </c>
      <c r="C34" s="94">
        <f>Control_5 Open_time</f>
        <v>45850.475694444445</v>
      </c>
      <c r="D34" s="94">
        <f>Control_5 Close_time</f>
        <v>45850.709027777775</v>
      </c>
      <c r="E34" s="91" t="str">
        <f>IF(ISBLANK(Locale Control_5),"",Locale Control_5)</f>
        <v>CEDAR</v>
      </c>
      <c r="F34" s="91" t="str">
        <f>IF(ISBLANK(Control_5 Establishment_2),"",Control_5 Establishment_2)</f>
        <v>Gas N Go, 1594 MacMillan Rd</v>
      </c>
      <c r="G34" s="130" t="str">
        <f>IF(ISBLANK('Control Entry'!J19),"",'Control Entry'!J19)</f>
        <v/>
      </c>
      <c r="H34" s="131"/>
      <c r="I34" s="132"/>
      <c r="J34" s="95"/>
    </row>
    <row r="35" spans="2:10" ht="40" customHeight="1" thickBot="1" x14ac:dyDescent="0.3">
      <c r="B35" s="96"/>
      <c r="C35" s="102">
        <f>Control_5 Open_time</f>
        <v>45850.475694444445</v>
      </c>
      <c r="D35" s="102">
        <f>Control_5 Close_time</f>
        <v>45850.709027777775</v>
      </c>
      <c r="E35" s="97"/>
      <c r="F35" s="98" t="str">
        <f>IF(ISBLANK(Control_5 Establishment_3),"",Control_5 Establishment_3)</f>
        <v/>
      </c>
      <c r="G35" s="124" t="str">
        <f>IF(ISBLANK('Control Entry'!K19),"",'Control Entry'!K19)</f>
        <v/>
      </c>
      <c r="H35" s="125"/>
      <c r="I35" s="126"/>
      <c r="J35" s="99"/>
    </row>
    <row r="36" spans="2:10" ht="40" customHeight="1" x14ac:dyDescent="0.25">
      <c r="B36" s="89"/>
      <c r="C36" s="101">
        <f>Control_6 Open_time</f>
        <v>45850.538888888885</v>
      </c>
      <c r="D36" s="101">
        <f>Control_6 Close_time</f>
        <v>45850.854166666664</v>
      </c>
      <c r="E36" s="100"/>
      <c r="F36" s="91" t="str">
        <f>IF(ISBLANK(Control_6 Establishment_1),"",Control_6 Establishment_1)</f>
        <v>BUSINESS</v>
      </c>
      <c r="G36" s="127" t="str">
        <f>IF(ISBLANK('Control Entry'!I20),"",'Control Entry'!I20)</f>
        <v/>
      </c>
      <c r="H36" s="128"/>
      <c r="I36" s="129"/>
      <c r="J36" s="92"/>
    </row>
    <row r="37" spans="2:10" ht="40" customHeight="1" x14ac:dyDescent="0.25">
      <c r="B37" s="93">
        <f>IF(ISBLANK(Distance Control_6),"",Control_6 Distance)</f>
        <v>201.8</v>
      </c>
      <c r="C37" s="94">
        <f>Control_6 Open_time</f>
        <v>45850.538888888885</v>
      </c>
      <c r="D37" s="94">
        <f>Control_6 Close_time</f>
        <v>45850.854166666664</v>
      </c>
      <c r="E37" s="91" t="str">
        <f>IF(ISBLANK(Locale Control_6),"",Locale Control_6)</f>
        <v>DUNCAN</v>
      </c>
      <c r="F37" s="91" t="str">
        <f>IF(ISBLANK(Control_6 Establishment_2),"",Control_6 Establishment_2)</f>
        <v>Tim Hortons Berkey's Corner</v>
      </c>
      <c r="G37" s="130" t="str">
        <f>IF(ISBLANK('Control Entry'!J20),"",'Control Entry'!J20)</f>
        <v/>
      </c>
      <c r="H37" s="131"/>
      <c r="I37" s="132"/>
      <c r="J37" s="95"/>
    </row>
    <row r="38" spans="2:10" ht="40" customHeight="1" thickBot="1" x14ac:dyDescent="0.3">
      <c r="B38" s="96"/>
      <c r="C38" s="102">
        <f>Control_6 Open_time</f>
        <v>45850.538888888885</v>
      </c>
      <c r="D38" s="102">
        <f>Control_6 Close_time</f>
        <v>45850.854166666664</v>
      </c>
      <c r="E38" s="97"/>
      <c r="F38" s="98" t="str">
        <f>IF(ISBLANK(Control_6 Establishment_3),"",Control_6 Establishment_3)</f>
        <v>3320 Cowichan Lake Rd</v>
      </c>
      <c r="G38" s="124" t="str">
        <f>IF(ISBLANK('Control Entry'!K20),"",'Control Entry'!K20)</f>
        <v/>
      </c>
      <c r="H38" s="125"/>
      <c r="I38" s="126"/>
      <c r="J38" s="99"/>
    </row>
    <row r="39" spans="2:10" ht="40" customHeight="1" x14ac:dyDescent="0.25">
      <c r="B39" s="89"/>
      <c r="C39" s="101" t="str">
        <f>Control_7 Open_time</f>
        <v/>
      </c>
      <c r="D39" s="101" t="str">
        <f>Control_7 Close_time</f>
        <v/>
      </c>
      <c r="E39" s="100"/>
      <c r="F39" s="91" t="str">
        <f>IF(ISBLANK(Control_7 Establishment_1),"",Control_7 Establishment_1)</f>
        <v/>
      </c>
      <c r="G39" s="127" t="str">
        <f>IF(ISBLANK('Control Entry'!I21),"",'Control Entry'!I21)</f>
        <v/>
      </c>
      <c r="H39" s="128"/>
      <c r="I39" s="129"/>
      <c r="J39" s="92"/>
    </row>
    <row r="40" spans="2:10" ht="40" customHeight="1" x14ac:dyDescent="0.25">
      <c r="B40" s="93" t="str">
        <f>IF(ISBLANK(Distance Control_7),"",Control_7 Distance)</f>
        <v/>
      </c>
      <c r="C40" s="94" t="str">
        <f>Control_7 Open_time</f>
        <v/>
      </c>
      <c r="D40" s="94" t="str">
        <f>Control_7 Close_time</f>
        <v/>
      </c>
      <c r="E40" s="91" t="str">
        <f>IF(ISBLANK(Locale Control_7),"",Locale Control_7)</f>
        <v/>
      </c>
      <c r="F40" s="91" t="str">
        <f>IF(ISBLANK(Control_7 Establishment_2),"",Control_7 Establishment_2)</f>
        <v/>
      </c>
      <c r="G40" s="130" t="str">
        <f>IF(ISBLANK('Control Entry'!J21),"",'Control Entry'!J21)</f>
        <v/>
      </c>
      <c r="H40" s="131"/>
      <c r="I40" s="132"/>
      <c r="J40" s="95"/>
    </row>
    <row r="41" spans="2:10" ht="40" customHeight="1" thickBot="1" x14ac:dyDescent="0.3">
      <c r="B41" s="96"/>
      <c r="C41" s="102" t="str">
        <f>Control_7 Open_time</f>
        <v/>
      </c>
      <c r="D41" s="102" t="str">
        <f>Control_7 Close_time</f>
        <v/>
      </c>
      <c r="E41" s="97"/>
      <c r="F41" s="98" t="str">
        <f>IF(ISBLANK(Control_7 Establishment_3),"",Control_7 Establishment_3)</f>
        <v/>
      </c>
      <c r="G41" s="124" t="str">
        <f>IF(ISBLANK('Control Entry'!K21),"",'Control Entry'!K21)</f>
        <v/>
      </c>
      <c r="H41" s="125"/>
      <c r="I41" s="126"/>
      <c r="J41" s="99"/>
    </row>
    <row r="42" spans="2:10" ht="40" customHeight="1" x14ac:dyDescent="0.25">
      <c r="B42" s="89"/>
      <c r="C42" s="101" t="str">
        <f>Control_8 Open_time</f>
        <v/>
      </c>
      <c r="D42" s="101" t="str">
        <f>Control_8 Close_time</f>
        <v/>
      </c>
      <c r="E42" s="100"/>
      <c r="F42" s="91" t="str">
        <f>IF(ISBLANK(Control_8 Establishment_1),"",Control_8 Establishment_1)</f>
        <v/>
      </c>
      <c r="G42" s="127" t="str">
        <f>IF(ISBLANK('Control Entry'!I22),"",'Control Entry'!I22)</f>
        <v/>
      </c>
      <c r="H42" s="128"/>
      <c r="I42" s="129"/>
      <c r="J42" s="92"/>
    </row>
    <row r="43" spans="2:10" ht="40" customHeight="1" x14ac:dyDescent="0.25">
      <c r="B43" s="93" t="str">
        <f>IF(ISBLANK(Distance Control_8),"",Control_8 Distance)</f>
        <v/>
      </c>
      <c r="C43" s="94" t="str">
        <f>Control_8 Open_time</f>
        <v/>
      </c>
      <c r="D43" s="94" t="str">
        <f>Control_8 Close_time</f>
        <v/>
      </c>
      <c r="E43" s="91" t="str">
        <f>IF(ISBLANK(Locale Control_8),"",Locale Control_8)</f>
        <v/>
      </c>
      <c r="F43" s="91" t="str">
        <f>IF(ISBLANK(Control_8 Establishment_2),"",Control_8 Establishment_2)</f>
        <v/>
      </c>
      <c r="G43" s="130" t="str">
        <f>IF(ISBLANK('Control Entry'!J22),"",'Control Entry'!J22)</f>
        <v/>
      </c>
      <c r="H43" s="131"/>
      <c r="I43" s="132"/>
      <c r="J43" s="95"/>
    </row>
    <row r="44" spans="2:10" ht="40" customHeight="1" thickBot="1" x14ac:dyDescent="0.3">
      <c r="B44" s="96"/>
      <c r="C44" s="102" t="str">
        <f>Control_8 Open_time</f>
        <v/>
      </c>
      <c r="D44" s="102" t="str">
        <f>Control_8 Close_time</f>
        <v/>
      </c>
      <c r="E44" s="97"/>
      <c r="F44" s="98" t="str">
        <f>IF(ISBLANK(Control_8 Establishment_3),"",Control_8 Establishment_3)</f>
        <v/>
      </c>
      <c r="G44" s="124" t="str">
        <f>IF(ISBLANK('Control Entry'!K22),"",'Control Entry'!K22)</f>
        <v/>
      </c>
      <c r="H44" s="125"/>
      <c r="I44" s="126"/>
      <c r="J44" s="99"/>
    </row>
    <row r="45" spans="2:10" ht="40" customHeight="1" x14ac:dyDescent="0.25">
      <c r="B45" s="89"/>
      <c r="C45" s="101" t="str">
        <f>Control_9 Open_time</f>
        <v/>
      </c>
      <c r="D45" s="101" t="str">
        <f>Control_9 Close_time</f>
        <v/>
      </c>
      <c r="E45" s="100"/>
      <c r="F45" s="91" t="str">
        <f>IF(ISBLANK(Control_9 Establishment_1),"",Control_9 Establishment_1)</f>
        <v/>
      </c>
      <c r="G45" s="127" t="str">
        <f>IF(ISBLANK('Control Entry'!I23),"",'Control Entry'!I23)</f>
        <v/>
      </c>
      <c r="H45" s="128"/>
      <c r="I45" s="129"/>
      <c r="J45" s="92"/>
    </row>
    <row r="46" spans="2:10" ht="40" customHeight="1" x14ac:dyDescent="0.25">
      <c r="B46" s="93" t="str">
        <f>IF(ISBLANK(Distance Control_9),"",Control_9 Distance)</f>
        <v/>
      </c>
      <c r="C46" s="94" t="str">
        <f>Control_9 Open_time</f>
        <v/>
      </c>
      <c r="D46" s="94" t="str">
        <f>Control_9 Close_time</f>
        <v/>
      </c>
      <c r="E46" s="91" t="str">
        <f>IF(ISBLANK(Locale Control_9),"",Locale Control_9)</f>
        <v/>
      </c>
      <c r="F46" s="91" t="str">
        <f>IF(ISBLANK(Control_9 Establishment_2),"",Control_9 Establishment_2)</f>
        <v/>
      </c>
      <c r="G46" s="130" t="str">
        <f>IF(ISBLANK('Control Entry'!J23),"",'Control Entry'!J23)</f>
        <v/>
      </c>
      <c r="H46" s="131"/>
      <c r="I46" s="132"/>
      <c r="J46" s="95"/>
    </row>
    <row r="47" spans="2:10" ht="40" customHeight="1" thickBot="1" x14ac:dyDescent="0.3">
      <c r="B47" s="96"/>
      <c r="C47" s="102" t="str">
        <f>Control_9 Open_time</f>
        <v/>
      </c>
      <c r="D47" s="102" t="str">
        <f>Control_9 Close_time</f>
        <v/>
      </c>
      <c r="E47" s="97"/>
      <c r="F47" s="98" t="str">
        <f>IF(ISBLANK(Control_9 Establishment_3),"",Control_9 Establishment_3)</f>
        <v/>
      </c>
      <c r="G47" s="124" t="str">
        <f>IF(ISBLANK('Control Entry'!K23),"",'Control Entry'!K23)</f>
        <v/>
      </c>
      <c r="H47" s="125"/>
      <c r="I47" s="126"/>
      <c r="J47" s="99"/>
    </row>
    <row r="48" spans="2:10" ht="40" customHeight="1" x14ac:dyDescent="0.25">
      <c r="B48" s="89"/>
      <c r="C48" s="101" t="str">
        <f>Control_10 Open_time</f>
        <v/>
      </c>
      <c r="D48" s="101" t="str">
        <f>Control_10 Close_time</f>
        <v/>
      </c>
      <c r="E48" s="100"/>
      <c r="F48" s="91" t="str">
        <f>IF(ISBLANK(Control_10 Establishment_1),"",Control_10 Establishment_1)</f>
        <v/>
      </c>
      <c r="G48" s="127" t="str">
        <f>IF(ISBLANK('Control Entry'!I24),"",'Control Entry'!I24)</f>
        <v/>
      </c>
      <c r="H48" s="128"/>
      <c r="I48" s="129"/>
      <c r="J48" s="92"/>
    </row>
    <row r="49" spans="2:11" ht="40" customHeight="1" x14ac:dyDescent="0.25">
      <c r="B49" s="93" t="str">
        <f>IF(ISBLANK(Distance Control_10),"",Control_10 Distance)</f>
        <v/>
      </c>
      <c r="C49" s="94" t="str">
        <f>Control_10 Open_time</f>
        <v/>
      </c>
      <c r="D49" s="94" t="str">
        <f>Control_10 Close_time</f>
        <v/>
      </c>
      <c r="E49" s="91" t="str">
        <f>IF(ISBLANK(Locale Control_10),"",Locale Control_10)</f>
        <v/>
      </c>
      <c r="F49" s="91" t="str">
        <f>IF(ISBLANK(Control_10 Establishment_2),"",Control_10 Establishment_2)</f>
        <v/>
      </c>
      <c r="G49" s="130" t="str">
        <f>IF(ISBLANK('Control Entry'!J24),"",'Control Entry'!J24)</f>
        <v/>
      </c>
      <c r="H49" s="131"/>
      <c r="I49" s="132"/>
      <c r="J49" s="95"/>
    </row>
    <row r="50" spans="2:11" ht="40" customHeight="1" thickBot="1" x14ac:dyDescent="0.3">
      <c r="B50" s="96"/>
      <c r="C50" s="102" t="str">
        <f>Control_10 Open_time</f>
        <v/>
      </c>
      <c r="D50" s="102" t="str">
        <f>Control_10 Close_time</f>
        <v/>
      </c>
      <c r="E50" s="97"/>
      <c r="F50" s="98" t="str">
        <f>IF(ISBLANK(Control_10 Establishment_3),"",Control_10 Establishment_3)</f>
        <v/>
      </c>
      <c r="G50" s="124" t="str">
        <f>IF(ISBLANK('Control Entry'!K24),"",'Control Entry'!K24)</f>
        <v/>
      </c>
      <c r="H50" s="125"/>
      <c r="I50" s="126"/>
      <c r="J50" s="99"/>
    </row>
    <row r="52" spans="2:11" ht="24" customHeight="1" x14ac:dyDescent="0.15">
      <c r="B52" s="144" t="s">
        <v>30</v>
      </c>
      <c r="C52" s="144"/>
      <c r="D52" s="144"/>
      <c r="E52" s="144"/>
      <c r="F52" s="144"/>
      <c r="I52" s="58" t="s">
        <v>57</v>
      </c>
      <c r="J52" s="81" t="str">
        <f>IF(ISBLANK('Control Entry'!F10),"",'Control Entry'!F10)</f>
        <v>‭(250) 213-3724‬</v>
      </c>
      <c r="K52" s="54"/>
    </row>
    <row r="54" spans="2:11" x14ac:dyDescent="0.15">
      <c r="B54" s="76" t="s">
        <v>60</v>
      </c>
      <c r="C54" s="77">
        <f>'Control Entry'!B3</f>
        <v>45167</v>
      </c>
    </row>
    <row r="55" spans="2:11" ht="23" x14ac:dyDescent="0.15">
      <c r="B55" s="58"/>
      <c r="C55" s="58"/>
      <c r="D55" s="58"/>
      <c r="E55" s="58"/>
      <c r="F55" s="54"/>
      <c r="G55" s="60"/>
      <c r="H55" s="60"/>
      <c r="I55" s="60"/>
      <c r="J55" s="54"/>
    </row>
    <row r="56" spans="2:11" x14ac:dyDescent="0.15">
      <c r="E56" s="1"/>
    </row>
    <row r="57" spans="2:11" x14ac:dyDescent="0.15">
      <c r="B57" s="56"/>
      <c r="C57" s="57"/>
      <c r="D57" s="57"/>
      <c r="E57" s="57"/>
      <c r="F57" s="139"/>
      <c r="G57" s="140"/>
      <c r="H57" s="140"/>
      <c r="I57" s="140"/>
      <c r="J57" s="140"/>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27</vt:i4>
      </vt:variant>
    </vt:vector>
  </HeadingPairs>
  <TitlesOfParts>
    <vt:vector size="29" baseType="lpstr">
      <vt:lpstr>Control Entry</vt:lpstr>
      <vt:lpstr>Card #1</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2025-07-07T21:04:40Z</cp:lastPrinted>
  <dcterms:created xsi:type="dcterms:W3CDTF">1997-11-12T04:43:39Z</dcterms:created>
  <dcterms:modified xsi:type="dcterms:W3CDTF">2025-07-07T21:05:01Z</dcterms:modified>
</cp:coreProperties>
</file>