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esktop/"/>
    </mc:Choice>
  </mc:AlternateContent>
  <xr:revisionPtr revIDLastSave="0" documentId="13_ncr:1_{D1E95C88-E771-D64B-A02A-8FD888A05712}" xr6:coauthVersionLast="36" xr6:coauthVersionMax="36" xr10:uidLastSave="{00000000-0000-0000-0000-000000000000}"/>
  <bookViews>
    <workbookView xWindow="0" yWindow="460" windowWidth="25600" windowHeight="15540" tabRatio="509" xr2:uid="{00000000-000D-0000-FFFF-FFFF00000000}"/>
  </bookViews>
  <sheets>
    <sheet name="Control Entry" sheetId="1" r:id="rId1"/>
    <sheet name="Control Card #1" sheetId="2" r:id="rId2"/>
    <sheet name="Control Card #2" sheetId="3" r:id="rId3"/>
    <sheet name="Control Card #3" sheetId="4" r:id="rId4"/>
    <sheet name="Control Card #4" sheetId="5" r:id="rId5"/>
  </sheets>
  <definedNames>
    <definedName name="Address_1" localSheetId="2">#REF!</definedName>
    <definedName name="Address_1" localSheetId="3">#REF!</definedName>
    <definedName name="Address_1" localSheetId="4">#REF!</definedName>
    <definedName name="Address_1">#REF!</definedName>
    <definedName name="Address_2" localSheetId="2">#REF!</definedName>
    <definedName name="Address_2" localSheetId="3">#REF!</definedName>
    <definedName name="Address_2" localSheetId="4">#REF!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2">#REF!</definedName>
    <definedName name="City" localSheetId="3">#REF!</definedName>
    <definedName name="City" localSheetId="4">#REF!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2">'Control Entry'!#REF!</definedName>
    <definedName name="Control_11" localSheetId="3">'Control Entry'!#REF!</definedName>
    <definedName name="Control_11" localSheetId="4">'Control Entry'!#REF!</definedName>
    <definedName name="Control_11">'Control Entry'!#REF!</definedName>
    <definedName name="Control_12" localSheetId="2">'Control Entry'!#REF!</definedName>
    <definedName name="Control_12" localSheetId="3">'Control Entry'!#REF!</definedName>
    <definedName name="Control_12" localSheetId="4">'Control Entry'!#REF!</definedName>
    <definedName name="Control_12">'Control Entry'!#REF!</definedName>
    <definedName name="Control_13" localSheetId="2">'Control Entry'!#REF!</definedName>
    <definedName name="Control_13" localSheetId="3">'Control Entry'!#REF!</definedName>
    <definedName name="Control_13" localSheetId="4">'Control Entry'!#REF!</definedName>
    <definedName name="Control_13">'Control Entry'!#REF!</definedName>
    <definedName name="Control_14" localSheetId="2">'Control Entry'!#REF!</definedName>
    <definedName name="Control_14" localSheetId="3">'Control Entry'!#REF!</definedName>
    <definedName name="Control_14" localSheetId="4">'Control Entry'!#REF!</definedName>
    <definedName name="Control_14">'Control Entry'!#REF!</definedName>
    <definedName name="Control_15" localSheetId="2">'Control Entry'!#REF!</definedName>
    <definedName name="Control_15" localSheetId="3">'Control Entry'!#REF!</definedName>
    <definedName name="Control_15" localSheetId="4">'Control Entry'!#REF!</definedName>
    <definedName name="Control_15">'Control Entry'!#REF!</definedName>
    <definedName name="Control_16" localSheetId="2">'Control Entry'!#REF!</definedName>
    <definedName name="Control_16" localSheetId="3">'Control Entry'!#REF!</definedName>
    <definedName name="Control_16" localSheetId="4">'Control Entry'!#REF!</definedName>
    <definedName name="Control_16">'Control Entry'!#REF!</definedName>
    <definedName name="Control_17" localSheetId="2">'Control Entry'!#REF!</definedName>
    <definedName name="Control_17" localSheetId="3">'Control Entry'!#REF!</definedName>
    <definedName name="Control_17" localSheetId="4">'Control Entry'!#REF!</definedName>
    <definedName name="Control_17">'Control Entry'!#REF!</definedName>
    <definedName name="Control_18" localSheetId="2">'Control Entry'!#REF!</definedName>
    <definedName name="Control_18" localSheetId="3">'Control Entry'!#REF!</definedName>
    <definedName name="Control_18" localSheetId="4">'Control Entry'!#REF!</definedName>
    <definedName name="Control_18">'Control Entry'!#REF!</definedName>
    <definedName name="Control_19" localSheetId="2">'Control Entry'!#REF!</definedName>
    <definedName name="Control_19" localSheetId="3">'Control Entry'!#REF!</definedName>
    <definedName name="Control_19" localSheetId="4">'Control Entry'!#REF!</definedName>
    <definedName name="Control_19">'Control Entry'!#REF!</definedName>
    <definedName name="Control_2">'Control Entry'!$D$16:$O$16</definedName>
    <definedName name="Control_20" localSheetId="2">'Control Entry'!#REF!</definedName>
    <definedName name="Control_20" localSheetId="3">'Control Entry'!#REF!</definedName>
    <definedName name="Control_20" localSheetId="4">'Control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2">#REF!</definedName>
    <definedName name="Country" localSheetId="3">#REF!</definedName>
    <definedName name="Country" localSheetId="4">#REF!</definedName>
    <definedName name="Country">#REF!</definedName>
    <definedName name="Distance">'Control Entry'!$D$15:$D$24</definedName>
    <definedName name="email" localSheetId="2">#REF!</definedName>
    <definedName name="email" localSheetId="3">#REF!</definedName>
    <definedName name="email" localSheetId="4">#REF!</definedName>
    <definedName name="email">#REF!</definedName>
    <definedName name="Establishment_1">'Control Entry'!$F$15:$F$24</definedName>
    <definedName name="Establishment_2">'Control Entry'!$G$15:$G$24</definedName>
    <definedName name="Establishment_3">'Control Entry'!$H$15:$H$24</definedName>
    <definedName name="Fax" localSheetId="2">#REF!</definedName>
    <definedName name="Fax" localSheetId="3">#REF!</definedName>
    <definedName name="Fax" localSheetId="4">#REF!</definedName>
    <definedName name="Fax">#REF!</definedName>
    <definedName name="First_Name" localSheetId="2">#REF!</definedName>
    <definedName name="First_Name" localSheetId="3">#REF!</definedName>
    <definedName name="First_Name" localSheetId="4">#REF!</definedName>
    <definedName name="First_Name">#REF!</definedName>
    <definedName name="Home_telephone" localSheetId="2">#REF!</definedName>
    <definedName name="Home_telephone" localSheetId="3">#REF!</definedName>
    <definedName name="Home_telephone" localSheetId="4">#REF!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 localSheetId="4">#REF!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2">#REF!</definedName>
    <definedName name="Postal_Code" localSheetId="3">#REF!</definedName>
    <definedName name="Postal_Code" localSheetId="4">#REF!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_xlnm.Print_Titles" localSheetId="4">'Control Card #4'!$1:$2</definedName>
    <definedName name="Province_State" localSheetId="2">#REF!</definedName>
    <definedName name="Province_State" localSheetId="3">#REF!</definedName>
    <definedName name="Province_State" localSheetId="4">#REF!</definedName>
    <definedName name="Province_State">#REF!</definedName>
    <definedName name="Start_date">'Control Entry'!$B$12</definedName>
    <definedName name="Start_time">'Control Entry'!$B$13</definedName>
    <definedName name="surname" localSheetId="2">#REF!</definedName>
    <definedName name="surname" localSheetId="3">#REF!</definedName>
    <definedName name="surname" localSheetId="4">#REF!</definedName>
    <definedName name="surname">#REF!</definedName>
    <definedName name="Work_telephone" localSheetId="2">#REF!</definedName>
    <definedName name="Work_telephone" localSheetId="3">#REF!</definedName>
    <definedName name="Work_telephone" localSheetId="4">#REF!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S3" i="2"/>
  <c r="Q33" i="5"/>
  <c r="Q32" i="5"/>
  <c r="S20" i="5"/>
  <c r="L20" i="5"/>
  <c r="L6" i="5"/>
  <c r="R5" i="5"/>
  <c r="P5" i="5"/>
  <c r="L63" i="1"/>
  <c r="L62" i="1"/>
  <c r="L61" i="1"/>
  <c r="L60" i="1"/>
  <c r="L59" i="1"/>
  <c r="L58" i="1"/>
  <c r="L57" i="1"/>
  <c r="L56" i="1"/>
  <c r="L55" i="1"/>
  <c r="M54" i="1"/>
  <c r="L54" i="1"/>
  <c r="Q33" i="4"/>
  <c r="Q32" i="4"/>
  <c r="Q33" i="3"/>
  <c r="Q32" i="3"/>
  <c r="Q33" i="2"/>
  <c r="Q32" i="2"/>
  <c r="M46" i="1" l="1"/>
  <c r="M47" i="1"/>
  <c r="M48" i="1"/>
  <c r="M49" i="1"/>
  <c r="M50" i="1"/>
  <c r="M41" i="1"/>
  <c r="M33" i="1"/>
  <c r="M34" i="1"/>
  <c r="M35" i="1"/>
  <c r="M36" i="1"/>
  <c r="M37" i="1"/>
  <c r="M21" i="1"/>
  <c r="M22" i="1"/>
  <c r="M23" i="1"/>
  <c r="M24" i="1"/>
  <c r="M20" i="1"/>
  <c r="S20" i="4" l="1"/>
  <c r="L20" i="4"/>
  <c r="S20" i="3"/>
  <c r="L20" i="3"/>
  <c r="S20" i="2"/>
  <c r="L20"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A7" i="2" l="1"/>
  <c r="F11" i="4"/>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5" i="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O50" i="1" l="1"/>
  <c r="N50" i="1"/>
  <c r="N61" i="1"/>
  <c r="N60" i="1"/>
  <c r="N59" i="1"/>
  <c r="N63" i="1"/>
  <c r="N58" i="1"/>
  <c r="N62" i="1"/>
  <c r="M63" i="1"/>
  <c r="O63" i="1" s="1"/>
  <c r="M61" i="1"/>
  <c r="O61" i="1" s="1"/>
  <c r="M59" i="1"/>
  <c r="O59" i="1" s="1"/>
  <c r="M62" i="1"/>
  <c r="O62" i="1" s="1"/>
  <c r="M60" i="1"/>
  <c r="O60" i="1" s="1"/>
  <c r="M58" i="1"/>
  <c r="O58" i="1" s="1"/>
  <c r="M28" i="1"/>
  <c r="B7" i="1"/>
  <c r="M4" i="5"/>
  <c r="M57" i="1"/>
  <c r="O57" i="1" s="1"/>
  <c r="M55" i="1"/>
  <c r="O55" i="1" s="1"/>
  <c r="M56" i="1"/>
  <c r="O56" i="1"/>
  <c r="N56" i="1"/>
  <c r="N57" i="1"/>
  <c r="N55" i="1"/>
  <c r="O54" i="1"/>
  <c r="N54" i="1"/>
  <c r="M4" i="3"/>
  <c r="M42" i="1"/>
  <c r="M31" i="1"/>
  <c r="M16" i="1"/>
  <c r="O16" i="1" s="1"/>
  <c r="M43" i="1"/>
  <c r="O43" i="1" s="1"/>
  <c r="M32" i="1"/>
  <c r="M19" i="1"/>
  <c r="M44" i="1"/>
  <c r="O44" i="1" s="1"/>
  <c r="M29" i="1"/>
  <c r="M18" i="1"/>
  <c r="O18" i="1" s="1"/>
  <c r="M45" i="1"/>
  <c r="M30" i="1"/>
  <c r="M17" i="1"/>
  <c r="O46" i="1"/>
  <c r="O45" i="1"/>
  <c r="O47" i="1"/>
  <c r="O48" i="1"/>
  <c r="O49" i="1"/>
  <c r="N48" i="1"/>
  <c r="N42" i="1"/>
  <c r="N47" i="1"/>
  <c r="N43" i="1"/>
  <c r="N45" i="1"/>
  <c r="N49" i="1"/>
  <c r="N46" i="1"/>
  <c r="N44" i="1"/>
  <c r="O42" i="1"/>
  <c r="N41" i="1"/>
  <c r="O41" i="1"/>
  <c r="M4" i="4"/>
  <c r="O17" i="1"/>
  <c r="M15" i="1"/>
  <c r="O15" i="1" s="1"/>
  <c r="C3" i="2" s="1"/>
  <c r="N31" i="1"/>
  <c r="B4" i="2"/>
  <c r="O19" i="1"/>
  <c r="C17" i="2" s="1"/>
  <c r="N18" i="1"/>
  <c r="B14" i="2" s="1"/>
  <c r="O23" i="1"/>
  <c r="C27" i="2" s="1"/>
  <c r="N28" i="1"/>
  <c r="N34" i="1"/>
  <c r="N22" i="1"/>
  <c r="B25" i="2" s="1"/>
  <c r="O34" i="1"/>
  <c r="B3" i="2"/>
  <c r="O20" i="1"/>
  <c r="O22" i="1"/>
  <c r="C26" i="2" s="1"/>
  <c r="O33" i="1"/>
  <c r="B5" i="2"/>
  <c r="N17" i="1"/>
  <c r="B11" i="2" s="1"/>
  <c r="N21" i="1"/>
  <c r="B22" i="2" s="1"/>
  <c r="N24" i="1"/>
  <c r="B31" i="2" s="1"/>
  <c r="N35" i="1"/>
  <c r="O37" i="1"/>
  <c r="N37" i="1"/>
  <c r="O24" i="1"/>
  <c r="C31" i="2" s="1"/>
  <c r="N16" i="1"/>
  <c r="B6" i="2" s="1"/>
  <c r="N20" i="1"/>
  <c r="B19" i="2" s="1"/>
  <c r="O21" i="1"/>
  <c r="C23" i="2" s="1"/>
  <c r="N29" i="1"/>
  <c r="N32" i="1"/>
  <c r="N19" i="1"/>
  <c r="B17" i="2" s="1"/>
  <c r="N23" i="1"/>
  <c r="B27" i="2" s="1"/>
  <c r="N30" i="1"/>
  <c r="N33" i="1"/>
  <c r="N36" i="1"/>
  <c r="O30" i="1"/>
  <c r="O29" i="1"/>
  <c r="M4" i="2"/>
  <c r="O36" i="1"/>
  <c r="O32" i="1"/>
  <c r="O28" i="1"/>
  <c r="O35" i="1"/>
  <c r="O31" i="1"/>
  <c r="C27" i="5" l="1"/>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C15" i="4"/>
  <c r="C17" i="4"/>
  <c r="C16" i="4"/>
  <c r="B23" i="4"/>
  <c r="B22" i="4"/>
  <c r="B21" i="4"/>
  <c r="B17" i="4"/>
  <c r="B16" i="4"/>
  <c r="B15" i="4"/>
  <c r="B25" i="4"/>
  <c r="B24" i="4"/>
  <c r="B26" i="4"/>
  <c r="C29" i="4"/>
  <c r="C28" i="4"/>
  <c r="C27" i="4"/>
  <c r="C21" i="4"/>
  <c r="C23" i="4"/>
  <c r="C22" i="4"/>
  <c r="C4" i="2"/>
  <c r="C14" i="4"/>
  <c r="C13" i="4"/>
  <c r="C12" i="4"/>
  <c r="B19" i="4"/>
  <c r="B18" i="4"/>
  <c r="B20" i="4"/>
  <c r="C20" i="4"/>
  <c r="C19" i="4"/>
  <c r="C18" i="4"/>
  <c r="C26" i="4"/>
  <c r="C25" i="4"/>
  <c r="C24" i="4"/>
  <c r="C8" i="4"/>
  <c r="C7" i="4"/>
  <c r="C6" i="4"/>
  <c r="C10" i="4"/>
  <c r="C9" i="4"/>
  <c r="C11" i="4"/>
  <c r="B8" i="4"/>
  <c r="B7" i="4"/>
  <c r="B6" i="4"/>
  <c r="B9" i="4"/>
  <c r="B11" i="4"/>
  <c r="B10" i="4"/>
  <c r="B5" i="4"/>
  <c r="B4" i="4"/>
  <c r="B3" i="4"/>
  <c r="C3" i="4"/>
  <c r="C5" i="4"/>
  <c r="C4" i="4"/>
  <c r="C19" i="3"/>
  <c r="B21" i="3"/>
  <c r="B29" i="3"/>
  <c r="B6" i="3"/>
  <c r="B26" i="3"/>
  <c r="B5" i="3"/>
  <c r="B11" i="3"/>
  <c r="C23" i="3"/>
  <c r="B32" i="3"/>
  <c r="B16" i="3"/>
  <c r="C31" i="3"/>
  <c r="C5" i="2"/>
  <c r="B19" i="3"/>
  <c r="B14" i="3"/>
  <c r="B25" i="3"/>
  <c r="C16" i="2"/>
  <c r="B13" i="3"/>
  <c r="B12" i="3"/>
  <c r="B21" i="2"/>
  <c r="B26" i="2"/>
  <c r="C15" i="2"/>
  <c r="C30" i="3"/>
  <c r="B3" i="3"/>
  <c r="C25" i="2"/>
  <c r="B8" i="2"/>
  <c r="B12" i="2"/>
  <c r="B13" i="2"/>
  <c r="B22" i="3"/>
  <c r="B30" i="3"/>
  <c r="B27" i="3"/>
  <c r="B8" i="3"/>
  <c r="C29" i="2"/>
  <c r="B18" i="3"/>
  <c r="B29" i="2"/>
  <c r="B15" i="2"/>
  <c r="B31" i="3"/>
  <c r="B18" i="2"/>
  <c r="B10" i="3"/>
  <c r="B32" i="2"/>
  <c r="C28" i="2"/>
  <c r="C24" i="2"/>
  <c r="C30" i="2"/>
  <c r="B20" i="2"/>
  <c r="C22" i="3"/>
  <c r="B24" i="3"/>
  <c r="B28" i="3"/>
  <c r="B7" i="3"/>
  <c r="B4" i="3"/>
  <c r="B16" i="2"/>
  <c r="B7" i="2"/>
  <c r="C19" i="2"/>
  <c r="C18" i="2"/>
  <c r="C20" i="2"/>
  <c r="C13" i="2"/>
  <c r="C12" i="2"/>
  <c r="C14" i="2"/>
  <c r="B23" i="3"/>
  <c r="B9" i="2"/>
  <c r="B30" i="2"/>
  <c r="C32" i="2"/>
  <c r="B10" i="2"/>
  <c r="B9" i="3"/>
  <c r="B24" i="2"/>
  <c r="C21" i="3"/>
  <c r="C18" i="3"/>
  <c r="B20" i="3"/>
  <c r="C9" i="2"/>
  <c r="C10" i="2"/>
  <c r="B28" i="2"/>
  <c r="B23" i="2"/>
  <c r="B17" i="3"/>
  <c r="C8" i="2"/>
  <c r="C7" i="2"/>
  <c r="C22" i="2"/>
  <c r="C21" i="2"/>
  <c r="C11" i="2"/>
  <c r="C20" i="3"/>
  <c r="B15" i="3"/>
  <c r="C32" i="3"/>
  <c r="C6" i="2"/>
  <c r="C6" i="3"/>
  <c r="C7" i="3"/>
  <c r="C8" i="3"/>
  <c r="C11" i="3"/>
  <c r="C9" i="3"/>
  <c r="C10" i="3"/>
  <c r="C13" i="3"/>
  <c r="C14" i="3"/>
  <c r="C12" i="3"/>
  <c r="C4" i="3"/>
  <c r="C5" i="3"/>
  <c r="C3" i="3"/>
  <c r="C25" i="3"/>
  <c r="C26" i="3"/>
  <c r="C24" i="3"/>
  <c r="C15" i="3"/>
  <c r="C16" i="3"/>
  <c r="C17" i="3"/>
  <c r="C27" i="3"/>
  <c r="C28" i="3"/>
  <c r="C2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7" authorId="1" shapeId="0" xr:uid="{00000000-0006-0000-0000-000002000000}">
      <text>
        <r>
          <rPr>
            <sz val="8"/>
            <color rgb="FF000000"/>
            <rFont val="Tahoma"/>
            <family val="2"/>
          </rPr>
          <t>Autocalculated based on ACP specified times</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<sst xmlns="http://schemas.openxmlformats.org/spreadsheetml/2006/main" count="415" uniqueCount="124">
  <si>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</si>
  <si>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</si>
  <si>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</si>
  <si>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</si>
  <si>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</si>
  <si>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</si>
  <si>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</si>
  <si>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</si>
  <si>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</si>
  <si>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</si>
  <si>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</si>
  <si>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</si>
  <si>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</si>
  <si>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</si>
  <si>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</si>
  <si>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</si>
  <si>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</si>
  <si>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</si>
  <si>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</si>
  <si>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</si>
  <si>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</si>
  <si>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</si>
  <si>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</si>
  <si>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</si>
  <si>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</si>
  <si>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</si>
  <si>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</si>
  <si>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</si>
  <si>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</si>
  <si>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</si>
  <si>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</si>
  <si>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</si>
  <si>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</si>
  <si>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</si>
  <si>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</si>
  <si>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</si>
  <si>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</si>
  <si>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</si>
  <si>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</si>
  <si>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</si>
  <si>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</si>
  <si>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</si>
  <si>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</si>
  <si>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</si>
  <si>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</si>
  <si>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</si>
  <si>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</si>
  <si>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</si>
  <si>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</si>
  <si>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</si>
  <si>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</si>
  <si>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</si>
  <si>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</si>
  <si>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</si>
  <si>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</si>
  <si>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</si>
  <si>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</si>
  <si>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</si>
  <si>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</si>
  <si>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</si>
  <si>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</si>
  <si>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</si>
  <si>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</si>
  <si>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</si>
  <si>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</si>
  <si>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</si>
  <si>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</si>
  <si>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</si>
  <si>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</si>
  <si>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Fill in the control distance.  The opening and closing times will be automatically calculated based on the start time and the brevet distance.  If you need more than 10 controls, use card #2, otherwise leave that section blank.</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</si>
  <si>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</si>
  <si>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</si>
  <si>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</si>
  <si>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</si>
  <si>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</si>
  <si>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</si>
  <si>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</si>
  <si>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</si>
  <si>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</si>
  <si>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</si>
  <si>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</si>
  <si>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</si>
  <si>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</si>
  <si>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DO NOT DELETE OR MOVE ROWS OR COLUMNS (delete contents of cells only)</t>
  </si>
  <si>
    <t>Fill in the Locale (city) for each control.  Establishment 1, 2, and 3 can be used to describe the control itself eg Locale HOPE  Est.1 Dairy Queen Est.2 817 Water Ave Est. 3 (left blank)</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</si>
  <si>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</si>
  <si>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</si>
  <si>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</si>
  <si>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</si>
  <si>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</si>
  <si>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</si>
  <si>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Ryder Hatzic Hills 2023</t>
  </si>
  <si>
    <t>VANCOUVER</t>
  </si>
  <si>
    <t>COQUITLAM</t>
  </si>
  <si>
    <t>MIRACLE VALLEY</t>
  </si>
  <si>
    <t>RYDER LAKE</t>
  </si>
  <si>
    <t>STRAITON</t>
  </si>
  <si>
    <t>FORT LANGLEY</t>
  </si>
  <si>
    <t>Riley Park</t>
  </si>
  <si>
    <t>Ontario St &amp; E30th St</t>
  </si>
  <si>
    <t>STAFFED</t>
  </si>
  <si>
    <t>Stop Sign</t>
  </si>
  <si>
    <t>Prairie Ave @ Burns St</t>
  </si>
  <si>
    <t>INFORMATION</t>
  </si>
  <si>
    <t>McConnell Creek</t>
  </si>
  <si>
    <t>Farmers Institute</t>
  </si>
  <si>
    <t>Phone Number???</t>
  </si>
  <si>
    <t>1-866-____________________</t>
  </si>
  <si>
    <t>Business Card</t>
  </si>
  <si>
    <t>South corner</t>
  </si>
  <si>
    <t>Dawson Rd &amp; Sumas Mtn Rd</t>
  </si>
  <si>
    <t>'Abbotsford News' bin</t>
  </si>
  <si>
    <t>Ryder Lake Hall</t>
  </si>
  <si>
    <t>49265 Elk View Rd</t>
  </si>
  <si>
    <t>Mavis Ave @ Glover Rd</t>
  </si>
  <si>
    <t>NE corner on sidewalk</t>
  </si>
  <si>
    <t>Concrete Disk below fish</t>
  </si>
  <si>
    <t>Portland Craft</t>
  </si>
  <si>
    <t>3835 Main St</t>
  </si>
  <si>
    <t xml:space="preserve">Back of Stop Sign </t>
  </si>
  <si>
    <t>Noticeboard by green chainlink fence</t>
  </si>
  <si>
    <t>"_________   __________" ca 1960's</t>
  </si>
  <si>
    <t>"Please Take Your ______  _______"</t>
  </si>
  <si>
    <t>"Mission ________  ________ 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</si>
</sst>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3"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20"/>
      <color theme="0" tint="-0.249977111117893"/>
      <name val="Impact"/>
      <family val="2"/>
    </font>
    <font>
      <sz val="16"/>
      <color rgb="FFFF0000"/>
      <name val="Arial"/>
      <family val="2"/>
    </font>
    <font>
      <sz val="9"/>
      <name val="Arial"/>
      <family val="2"/>
    </font>
    <font>
      <sz val="11"/>
      <name val="Arial Narrow"/>
      <family val="2"/>
    </font>
  </fonts>
  <fills count="3">
    <fill>
      <patternFill patternType="none"/>
    </fill>
    <fill>
      <patternFill patternType="gray125"/>
    </fill>
    <fill>
      <patternFill patternType="solid">
        <fgColor indexed="22"/>
        <bgColor indexed="64"/>
      </patternFill>
    </fill>
  </fills>
  <borders count="30">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63">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10" fillId="0" borderId="0" xfId="0" applyFont="1" applyProtection="1"/>
    <xf numFmtId="0" fontId="0" fillId="0" borderId="0" xfId="0"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168" fontId="10" fillId="0" borderId="0" xfId="0" applyNumberFormat="1" applyFont="1" applyBorder="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Alignment="1">
      <alignment horizontal="center"/>
    </xf>
    <xf numFmtId="0" fontId="10" fillId="0" borderId="0" xfId="0" applyFont="1" applyBorder="1" applyAlignment="1">
      <alignment horizontal="center"/>
    </xf>
    <xf numFmtId="18" fontId="23" fillId="0" borderId="0" xfId="0" applyNumberFormat="1" applyFont="1" applyBorder="1" applyAlignment="1">
      <alignment horizontal="center" wrapText="1"/>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0" fontId="10" fillId="0" borderId="0" xfId="0" applyFont="1" applyAlignment="1">
      <alignment horizontal="center"/>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NumberFormat="1" applyFont="1" applyBorder="1" applyAlignment="1">
      <alignment horizontal="center" wrapText="1"/>
    </xf>
    <xf numFmtId="0" fontId="9" fillId="0" borderId="0" xfId="0" applyFont="1" applyAlignment="1"/>
    <xf numFmtId="0" fontId="5" fillId="0" borderId="0" xfId="0" applyFont="1"/>
    <xf numFmtId="0" fontId="27" fillId="2" borderId="26" xfId="0" applyFont="1" applyFill="1" applyBorder="1"/>
    <xf numFmtId="0" fontId="0" fillId="2" borderId="28" xfId="0" applyFill="1" applyBorder="1" applyAlignment="1">
      <alignment horizontal="right"/>
    </xf>
    <xf numFmtId="15" fontId="13" fillId="0" borderId="27" xfId="0" applyNumberFormat="1" applyFont="1" applyBorder="1" applyProtection="1">
      <protection locked="0"/>
    </xf>
    <xf numFmtId="0" fontId="5" fillId="2" borderId="29" xfId="0" applyFont="1" applyFill="1" applyBorder="1" applyAlignment="1">
      <alignment horizontal="right"/>
    </xf>
    <xf numFmtId="0" fontId="6" fillId="0" borderId="0" xfId="0" applyFont="1" applyBorder="1" applyAlignment="1" applyProtection="1">
      <alignment vertical="top" wrapText="1"/>
    </xf>
    <xf numFmtId="0" fontId="0" fillId="0" borderId="0" xfId="0" applyAlignment="1"/>
    <xf numFmtId="0" fontId="5" fillId="0" borderId="0" xfId="0" applyFont="1" applyAlignment="1"/>
    <xf numFmtId="0" fontId="5" fillId="0" borderId="0" xfId="0" applyFont="1" applyAlignment="1">
      <alignment wrapText="1"/>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14" fillId="0" borderId="7" xfId="0" applyFont="1" applyBorder="1" applyAlignment="1" applyProtection="1">
      <alignment horizontal="center"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0" fillId="0" borderId="19" xfId="0" applyBorder="1" applyProtection="1"/>
    <xf numFmtId="0" fontId="0" fillId="0" borderId="6" xfId="0" applyBorder="1" applyProtection="1"/>
    <xf numFmtId="15" fontId="32" fillId="0" borderId="4" xfId="0" applyNumberFormat="1" applyFont="1" applyBorder="1" applyAlignment="1" applyProtection="1">
      <alignment horizontal="center"/>
      <protection locked="0"/>
    </xf>
    <xf numFmtId="0" fontId="31" fillId="2" borderId="29" xfId="0" applyFont="1" applyFill="1" applyBorder="1" applyAlignment="1">
      <alignment horizontal="right"/>
    </xf>
    <xf numFmtId="15" fontId="31" fillId="2" borderId="2" xfId="0" applyNumberFormat="1" applyFont="1" applyFill="1" applyBorder="1" applyAlignment="1">
      <alignment horizontal="left"/>
    </xf>
    <xf numFmtId="0" fontId="31" fillId="0" borderId="0" xfId="0" applyFont="1" applyAlignment="1"/>
    <xf numFmtId="0" fontId="31" fillId="0" borderId="0" xfId="0" applyFont="1"/>
    <xf numFmtId="0" fontId="31" fillId="0" borderId="0" xfId="0" applyFont="1" applyAlignment="1">
      <alignment wrapText="1"/>
    </xf>
    <xf numFmtId="167" fontId="0" fillId="0" borderId="13" xfId="0" applyNumberFormat="1" applyBorder="1" applyProtection="1"/>
    <xf numFmtId="14" fontId="0" fillId="0" borderId="0" xfId="0" applyNumberFormat="1" applyProtection="1">
      <protection locked="0"/>
    </xf>
    <xf numFmtId="49" fontId="5" fillId="0" borderId="4" xfId="0" quotePrefix="1" applyNumberFormat="1" applyFont="1" applyBorder="1" applyAlignment="1" applyProtection="1">
      <alignment horizontal="center"/>
      <protection locked="0"/>
    </xf>
    <xf numFmtId="49" fontId="5" fillId="0" borderId="14" xfId="0" quotePrefix="1" applyNumberFormat="1" applyFont="1" applyBorder="1" applyAlignment="1" applyProtection="1">
      <alignment horizontal="center"/>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1" fillId="0" borderId="0" xfId="0" applyFont="1" applyAlignment="1">
      <alignment horizontal="left" vertical="top" wrapText="1"/>
    </xf>
    <xf numFmtId="0" fontId="30"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28" fillId="0" borderId="0" xfId="0" applyFont="1" applyAlignment="1">
      <alignment horizontal="right"/>
    </xf>
    <xf numFmtId="0" fontId="0" fillId="2" borderId="9" xfId="0" applyFill="1" applyBorder="1" applyAlignment="1">
      <alignment horizontal="center"/>
    </xf>
    <xf numFmtId="0" fontId="10" fillId="0" borderId="0" xfId="0" applyFont="1" applyAlignment="1" applyProtection="1">
      <alignment horizontal="right"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29" fillId="0" borderId="18" xfId="0" applyFont="1" applyBorder="1" applyAlignment="1" applyProtection="1">
      <alignment horizontal="left"/>
      <protection locked="0"/>
    </xf>
    <xf numFmtId="0" fontId="8" fillId="0" borderId="5" xfId="0" applyFont="1" applyBorder="1" applyAlignment="1" applyProtection="1">
      <alignment horizontal="left"/>
      <protection locked="0"/>
    </xf>
    <xf numFmtId="0" fontId="7" fillId="0" borderId="18" xfId="0" applyFont="1" applyFill="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0" fontId="10" fillId="0" borderId="5" xfId="0" applyFont="1" applyBorder="1" applyAlignment="1" applyProtection="1">
      <alignment horizontal="left"/>
      <protection locked="0"/>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right" vertical="center"/>
    </xf>
    <xf numFmtId="0" fontId="12" fillId="0" borderId="18" xfId="0" applyFont="1" applyBorder="1" applyAlignment="1" applyProtection="1">
      <alignment horizontal="left"/>
      <protection locked="0"/>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0" fillId="0" borderId="18" xfId="0" applyFont="1" applyBorder="1" applyProtection="1">
      <protection locked="0"/>
    </xf>
    <xf numFmtId="168" fontId="10" fillId="0" borderId="18" xfId="0" applyNumberFormat="1" applyFont="1" applyBorder="1" applyAlignment="1" applyProtection="1">
      <alignment horizontal="center"/>
      <protection locked="0"/>
    </xf>
    <xf numFmtId="0" fontId="6" fillId="0" borderId="0" xfId="0" applyFont="1" applyBorder="1" applyAlignment="1" applyProtection="1">
      <alignment horizontal="center" wrapText="1"/>
    </xf>
    <xf numFmtId="0" fontId="5" fillId="0" borderId="0" xfId="0" applyFont="1" applyBorder="1" applyAlignment="1">
      <alignment horizontal="right" vertical="top"/>
    </xf>
    <xf numFmtId="0" fontId="0" fillId="0" borderId="0" xfId="0" applyBorder="1" applyAlignment="1">
      <alignment horizontal="right"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19" fillId="0" borderId="0" xfId="0" applyFont="1" applyBorder="1" applyAlignment="1">
      <alignment horizontal="center"/>
    </xf>
    <xf numFmtId="168" fontId="10" fillId="0" borderId="18" xfId="0" applyNumberFormat="1" applyFont="1" applyBorder="1" applyAlignment="1">
      <alignment horizontal="center"/>
    </xf>
    <xf numFmtId="0" fontId="7" fillId="0" borderId="18" xfId="0" applyFont="1" applyFill="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3"/>
  <sheetViews>
    <sheetView showGridLines="0" tabSelected="1" zoomScale="140" zoomScaleNormal="140" zoomScalePageLayoutView="135" workbookViewId="0">
      <selection activeCell="D22" sqref="D22"/>
    </sheetView>
  </sheetViews>
  <sheetFormatPr baseColWidth="10" defaultColWidth="8.83203125" defaultRowHeight="13" x14ac:dyDescent="0.15"/>
  <cols>
    <col min="1" max="1" width="16.5" style="2" customWidth="1"/>
    <col min="2" max="2" width="10.83203125" customWidth="1"/>
    <col min="3" max="3" width="1" style="3" hidden="1" customWidth="1"/>
    <col min="4" max="4" width="8.33203125" customWidth="1"/>
    <col min="5" max="5" width="17" bestFit="1" customWidth="1"/>
    <col min="6" max="11" width="34.1640625" customWidth="1"/>
    <col min="12" max="15" width="17.83203125" hidden="1" customWidth="1"/>
  </cols>
  <sheetData>
    <row r="1" spans="1:26" ht="20" customHeight="1" x14ac:dyDescent="0.2">
      <c r="A1" s="119" t="s">
        <v>83</v>
      </c>
      <c r="B1" s="119"/>
      <c r="C1" s="119"/>
      <c r="D1" s="119"/>
      <c r="E1" s="119"/>
      <c r="F1" s="119"/>
      <c r="G1" s="119"/>
      <c r="H1" s="119"/>
      <c r="I1" s="94" t="s">
        <v>85</v>
      </c>
      <c r="Q1" s="118" t="s">
        <v>89</v>
      </c>
      <c r="R1" s="118"/>
      <c r="S1" s="118"/>
      <c r="T1" s="118"/>
      <c r="U1" s="118"/>
      <c r="V1" s="118"/>
      <c r="W1" s="118"/>
      <c r="X1" s="118"/>
      <c r="Y1" s="118"/>
      <c r="Z1" s="118"/>
    </row>
    <row r="2" spans="1:26" ht="13" customHeight="1" thickBot="1" x14ac:dyDescent="0.2">
      <c r="H2" s="95"/>
      <c r="I2" s="95"/>
      <c r="Q2" s="118"/>
      <c r="R2" s="118"/>
      <c r="S2" s="118"/>
      <c r="T2" s="118"/>
      <c r="U2" s="118"/>
      <c r="V2" s="118"/>
      <c r="W2" s="118"/>
      <c r="X2" s="118"/>
      <c r="Y2" s="118"/>
      <c r="Z2" s="118"/>
    </row>
    <row r="3" spans="1:26" s="109" customFormat="1" ht="13" customHeight="1" thickBot="1" x14ac:dyDescent="0.2">
      <c r="A3" s="106" t="s">
        <v>82</v>
      </c>
      <c r="B3" s="107">
        <v>44874</v>
      </c>
      <c r="C3" s="108"/>
      <c r="D3" s="108"/>
      <c r="G3" s="108"/>
      <c r="H3" s="110"/>
      <c r="I3" s="110"/>
      <c r="Q3" s="118"/>
      <c r="R3" s="118"/>
      <c r="S3" s="118"/>
      <c r="T3" s="118"/>
      <c r="U3" s="118"/>
      <c r="V3" s="118"/>
      <c r="W3" s="118"/>
      <c r="X3" s="118"/>
      <c r="Y3" s="118"/>
      <c r="Z3" s="118"/>
    </row>
    <row r="4" spans="1:26" ht="13" customHeight="1" x14ac:dyDescent="0.15">
      <c r="A4" s="91" t="s">
        <v>86</v>
      </c>
      <c r="B4" s="105">
        <v>45036</v>
      </c>
      <c r="C4" s="93"/>
      <c r="D4" s="93"/>
      <c r="G4" s="93"/>
      <c r="H4" s="95"/>
      <c r="I4" s="95"/>
      <c r="Q4" s="118"/>
      <c r="R4" s="118"/>
      <c r="S4" s="118"/>
      <c r="T4" s="118"/>
      <c r="U4" s="118"/>
      <c r="V4" s="118"/>
      <c r="W4" s="118"/>
      <c r="X4" s="118"/>
      <c r="Y4" s="118"/>
      <c r="Z4" s="118"/>
    </row>
    <row r="5" spans="1:26" ht="14" thickBot="1" x14ac:dyDescent="0.2">
      <c r="H5" s="95"/>
      <c r="I5" s="95"/>
      <c r="Q5" s="118"/>
      <c r="R5" s="118"/>
      <c r="S5" s="118"/>
      <c r="T5" s="118"/>
      <c r="U5" s="118"/>
      <c r="V5" s="118"/>
      <c r="W5" s="118"/>
      <c r="X5" s="118"/>
      <c r="Y5" s="118"/>
      <c r="Z5" s="118"/>
    </row>
    <row r="6" spans="1:26" ht="18" x14ac:dyDescent="0.2">
      <c r="A6" s="11" t="s">
        <v>18</v>
      </c>
      <c r="B6" s="69">
        <v>300</v>
      </c>
      <c r="C6">
        <f>IF(Brevet_Length&gt;=1200,Brevet_Length,IF(Brevet_Length&gt;=1000,1000,IF(Brevet_Length&gt;=600,600,IF(Brevet_Length&gt;=400,400,IF(Brevet_Length&gt;=300,300,IF(Brevet_Length&gt;=200,200,100))))))</f>
        <v>300</v>
      </c>
      <c r="J6" s="123" t="s">
        <v>63</v>
      </c>
      <c r="K6" s="123"/>
      <c r="Q6" s="73" t="s">
        <v>64</v>
      </c>
      <c r="R6" s="73"/>
      <c r="S6" s="73"/>
      <c r="T6" s="73"/>
      <c r="U6" s="73"/>
      <c r="V6" s="73"/>
      <c r="W6" s="73"/>
    </row>
    <row r="7" spans="1:26" ht="14" thickBot="1" x14ac:dyDescent="0.2">
      <c r="A7" s="12" t="s">
        <v>19</v>
      </c>
      <c r="B7" s="13">
        <f>IF(brevet=1200,90,IF(brevet=1000,75,IF(brevet=600,40,IF(brevet=400,27,IF(brevet=300,20,IF(brevet=200,13.5,IF(brevet=100,7,0)))))))</f>
        <v>20</v>
      </c>
      <c r="Q7" t="s">
        <v>65</v>
      </c>
    </row>
    <row r="8" spans="1:26" ht="19" thickBot="1" x14ac:dyDescent="0.25">
      <c r="A8" s="12" t="s">
        <v>20</v>
      </c>
      <c r="B8" s="120" t="s">
        <v>91</v>
      </c>
      <c r="C8" s="121"/>
      <c r="D8" s="121"/>
      <c r="E8" s="121"/>
      <c r="F8" s="121"/>
      <c r="G8" s="121"/>
      <c r="H8" s="122"/>
      <c r="I8" s="27"/>
      <c r="J8" s="27"/>
      <c r="K8" s="27"/>
      <c r="O8" s="28"/>
      <c r="P8" s="28"/>
      <c r="Q8" s="73" t="s">
        <v>66</v>
      </c>
    </row>
    <row r="9" spans="1:26" ht="18" x14ac:dyDescent="0.2">
      <c r="A9" s="12" t="s">
        <v>21</v>
      </c>
      <c r="B9" s="70">
        <v>5241</v>
      </c>
      <c r="C9" s="24"/>
      <c r="F9" s="25"/>
      <c r="G9" s="25"/>
      <c r="H9" s="25"/>
      <c r="I9" s="25"/>
      <c r="J9" s="25"/>
      <c r="K9" s="25"/>
      <c r="Q9" s="73" t="s">
        <v>67</v>
      </c>
    </row>
    <row r="10" spans="1:26" ht="18" x14ac:dyDescent="0.2">
      <c r="A10" s="48" t="s">
        <v>48</v>
      </c>
      <c r="B10" s="71">
        <v>45038</v>
      </c>
      <c r="Q10" s="73" t="s">
        <v>68</v>
      </c>
    </row>
    <row r="11" spans="1:26" ht="6" customHeight="1" x14ac:dyDescent="0.15">
      <c r="B11" s="112"/>
    </row>
    <row r="12" spans="1:26" ht="18" customHeight="1" thickBot="1" x14ac:dyDescent="0.25">
      <c r="A12" s="89" t="s">
        <v>22</v>
      </c>
      <c r="B12" s="90">
        <v>45038</v>
      </c>
      <c r="Q12" s="73" t="s">
        <v>76</v>
      </c>
    </row>
    <row r="13" spans="1:26" ht="19" thickBot="1" x14ac:dyDescent="0.25">
      <c r="A13" s="10" t="s">
        <v>23</v>
      </c>
      <c r="B13" s="72">
        <v>0.25</v>
      </c>
      <c r="D13" s="115" t="s">
        <v>81</v>
      </c>
      <c r="E13" s="116"/>
      <c r="F13" s="116"/>
      <c r="G13" s="116"/>
      <c r="H13" s="116"/>
      <c r="I13" s="124" t="s">
        <v>71</v>
      </c>
      <c r="J13" s="116"/>
      <c r="K13" s="117"/>
      <c r="Q13" s="73" t="s">
        <v>75</v>
      </c>
    </row>
    <row r="14" spans="1:26" ht="14" thickBot="1" x14ac:dyDescent="0.2">
      <c r="D14" s="6" t="s">
        <v>24</v>
      </c>
      <c r="E14" s="7" t="s">
        <v>25</v>
      </c>
      <c r="F14" s="63" t="s">
        <v>26</v>
      </c>
      <c r="G14" s="63" t="s">
        <v>27</v>
      </c>
      <c r="H14" s="64" t="s">
        <v>28</v>
      </c>
      <c r="I14" s="7" t="s">
        <v>60</v>
      </c>
      <c r="J14" s="7" t="s">
        <v>61</v>
      </c>
      <c r="K14" s="8" t="s">
        <v>62</v>
      </c>
      <c r="L14" t="s">
        <v>3</v>
      </c>
      <c r="M14" t="s">
        <v>4</v>
      </c>
      <c r="N14" t="s">
        <v>5</v>
      </c>
      <c r="O14" t="s">
        <v>6</v>
      </c>
      <c r="Q14" s="73" t="s">
        <v>69</v>
      </c>
    </row>
    <row r="15" spans="1:26" ht="17" customHeight="1" x14ac:dyDescent="0.15">
      <c r="C15" s="3" t="s">
        <v>7</v>
      </c>
      <c r="D15" s="111">
        <v>0</v>
      </c>
      <c r="E15" s="75" t="s">
        <v>92</v>
      </c>
      <c r="F15" s="76" t="s">
        <v>100</v>
      </c>
      <c r="G15" s="76" t="s">
        <v>98</v>
      </c>
      <c r="H15" s="77" t="s">
        <v>99</v>
      </c>
      <c r="I15" s="76"/>
      <c r="J15" s="76"/>
      <c r="K15" s="77"/>
      <c r="L15" s="4">
        <f>Start_date+Start_time</f>
        <v>45038.25</v>
      </c>
      <c r="M15" s="4">
        <f>L15+"1:00"</f>
        <v>45038.291666666664</v>
      </c>
      <c r="N15" s="5">
        <f>IF(ISBLANK(Distance),"",Open Control_1)</f>
        <v>45038.25</v>
      </c>
      <c r="O15" s="5">
        <f>IF(ISBLANK(Distance),"",Close Control_1)</f>
        <v>45038.291666666664</v>
      </c>
      <c r="Q15" s="73" t="s">
        <v>84</v>
      </c>
    </row>
    <row r="16" spans="1:26" ht="17" customHeight="1" x14ac:dyDescent="0.15">
      <c r="B16" s="82"/>
      <c r="C16" s="3" t="s">
        <v>8</v>
      </c>
      <c r="D16" s="26">
        <v>36.299999999999997</v>
      </c>
      <c r="E16" s="75" t="s">
        <v>93</v>
      </c>
      <c r="F16" s="76" t="s">
        <v>103</v>
      </c>
      <c r="G16" s="76" t="s">
        <v>101</v>
      </c>
      <c r="H16" s="77" t="s">
        <v>102</v>
      </c>
      <c r="I16" s="76" t="s">
        <v>119</v>
      </c>
      <c r="J16" s="76" t="s">
        <v>106</v>
      </c>
      <c r="K16" s="77" t="s">
        <v>107</v>
      </c>
      <c r="L16">
        <f>IF(ISBLANK(Distance),"",IF(Distance&gt;1000,(Distance-1000)/26+33.0847,(IF(Distance&gt;600,(Distance-600)/28+18.799,(IF(Distance&gt;400,(Distance-400)/30+12.1324,(IF(Distance&gt;200,(Distance-200)/32+5.8824,Distance/34))))))))</f>
        <v>1.0676470588235294</v>
      </c>
      <c r="M16">
        <f t="shared" ref="M16:M24" si="0">IF(ISBLANK(Distance),"",IF(Distance&gt;=brevet,IF(brevet&gt;1200,(brevet-1200)*75/1000+90,Max_time),IF(Distance&gt;1200,(Distance-1200)*75/1000+90,IF(Distance&gt;1000,(Distance-1000)/(1000/75)+75,IF(Distance&gt;600,(Distance-600)/(400/35)+40,IF(Distance&lt;=60,(Distance/20+1),Distance/15))))))</f>
        <v>2.8149999999999999</v>
      </c>
      <c r="N16" s="5">
        <f>IF(ISBLANK(Distance),"",Open_time Control_1+(INT(Open)&amp;":"&amp;IF(ROUND(((Open-INT(Open))*60),0)&lt;10,0,"")&amp;ROUND(((Open-INT(Open))*60),0)))</f>
        <v>45038.294444444444</v>
      </c>
      <c r="O16" s="5">
        <f>IF(ISBLANK(Distance),"",Open_time Control_1+(INT(Close)&amp;":"&amp;IF(ROUND(((Close-INT(Close))*60),0)&lt;10,0,"")&amp;ROUND(((Close-INT(Close))*60),0)))</f>
        <v>45038.367361111108</v>
      </c>
      <c r="Q16" s="73" t="s">
        <v>70</v>
      </c>
    </row>
    <row r="17" spans="2:17" ht="17" customHeight="1" x14ac:dyDescent="0.15">
      <c r="B17" s="82"/>
      <c r="C17" s="3" t="s">
        <v>9</v>
      </c>
      <c r="D17" s="26">
        <v>93.1</v>
      </c>
      <c r="E17" s="75" t="s">
        <v>94</v>
      </c>
      <c r="F17" s="76" t="s">
        <v>103</v>
      </c>
      <c r="G17" s="76" t="s">
        <v>104</v>
      </c>
      <c r="H17" s="77" t="s">
        <v>105</v>
      </c>
      <c r="I17" s="76" t="s">
        <v>120</v>
      </c>
      <c r="J17" s="76" t="s">
        <v>108</v>
      </c>
      <c r="K17" s="113" t="s">
        <v>123</v>
      </c>
      <c r="L17">
        <f>IF(ISBLANK(Distance),"",IF(Distance&gt;1000,(Distance-1000)/26+33.0847,(IF(Distance&gt;600,(Distance-600)/28+18.799,(IF(Distance&gt;400,(Distance-400)/30+12.1324,(IF(Distance&gt;200,(Distance-200)/32+5.8824,Distance/34))))))))</f>
        <v>2.7382352941176471</v>
      </c>
      <c r="M17">
        <f t="shared" si="0"/>
        <v>6.2066666666666661</v>
      </c>
      <c r="N17" s="5">
        <f>IF(ISBLANK(Distance),"",Open_time Control_1+(INT(Open)&amp;":"&amp;IF(ROUND(((Open-INT(Open))*60),0)&lt;10,0,"")&amp;ROUND(((Open-INT(Open))*60),0)))</f>
        <v>45038.363888888889</v>
      </c>
      <c r="O17" s="5">
        <f>IF(ISBLANK(Distance),"",Open_time Control_1+(INT(Close)&amp;":"&amp;IF(ROUND(((Close-INT(Close))*60),0)&lt;10,0,"")&amp;ROUND(((Close-INT(Close))*60),0)))</f>
        <v>45038.508333333331</v>
      </c>
    </row>
    <row r="18" spans="2:17" ht="17" customHeight="1" x14ac:dyDescent="0.15">
      <c r="B18" s="82"/>
      <c r="C18" s="3" t="s">
        <v>10</v>
      </c>
      <c r="D18" s="26">
        <v>129</v>
      </c>
      <c r="E18" s="75" t="s">
        <v>96</v>
      </c>
      <c r="F18" s="76" t="s">
        <v>103</v>
      </c>
      <c r="G18" s="76" t="s">
        <v>109</v>
      </c>
      <c r="H18" s="77" t="s">
        <v>110</v>
      </c>
      <c r="I18" s="114" t="s">
        <v>111</v>
      </c>
      <c r="J18" s="76"/>
      <c r="K18" s="76" t="s">
        <v>122</v>
      </c>
      <c r="L18">
        <f t="shared" ref="L18:L24" si="1">IF(ISBLANK(Distance),"",IF(Distance&gt;1000,(Distance-1000)/26+33.0847,(IF(Distance&gt;600,(Distance-600)/28+18.799,(IF(Distance&gt;400,(Distance-400)/30+12.1324,(IF(Distance&gt;200,(Distance-200)/32+5.8824,Distance/34))))))))</f>
        <v>3.7941176470588234</v>
      </c>
      <c r="M18">
        <f t="shared" si="0"/>
        <v>8.6</v>
      </c>
      <c r="N18" s="5">
        <f>IF(ISBLANK(Distance),"",Open_time Control_1+(INT(Open)&amp;":"&amp;IF(ROUND(((Open-INT(Open))*60),0)&lt;10,0,"")&amp;ROUND(((Open-INT(Open))*60),0)))</f>
        <v>45038.408333333333</v>
      </c>
      <c r="O18" s="5">
        <f>IF(ISBLANK(Distance),"",Open_time Control_1+(INT(Close)&amp;":"&amp;IF(ROUND(((Close-INT(Close))*60),0)&lt;10,0,"")&amp;ROUND(((Close-INT(Close))*60),0)))</f>
        <v>45038.60833333333</v>
      </c>
    </row>
    <row r="19" spans="2:17" ht="17" customHeight="1" x14ac:dyDescent="0.15">
      <c r="B19" s="82"/>
      <c r="C19" s="3" t="s">
        <v>11</v>
      </c>
      <c r="D19" s="26">
        <v>166.3</v>
      </c>
      <c r="E19" s="75" t="s">
        <v>95</v>
      </c>
      <c r="F19" s="76" t="s">
        <v>100</v>
      </c>
      <c r="G19" s="76" t="s">
        <v>112</v>
      </c>
      <c r="H19" s="77" t="s">
        <v>113</v>
      </c>
      <c r="I19" s="76"/>
      <c r="J19" s="76"/>
      <c r="K19" s="77"/>
      <c r="L19">
        <f t="shared" si="1"/>
        <v>4.8911764705882357</v>
      </c>
      <c r="M19">
        <f t="shared" si="0"/>
        <v>11.086666666666668</v>
      </c>
      <c r="N19" s="5">
        <f>IF(ISBLANK(Distance),"",Open_time Control_1+(INT(Open)&amp;":"&amp;IF(ROUND(((Open-INT(Open))*60),0)&lt;10,0,"")&amp;ROUND(((Open-INT(Open))*60),0)))</f>
        <v>45038.453472222223</v>
      </c>
      <c r="O19" s="5">
        <f>IF(ISBLANK(Distance),"",Open_time Control_1+(INT(Close)&amp;":"&amp;IF(ROUND(((Close-INT(Close))*60),0)&lt;10,0,"")&amp;ROUND(((Close-INT(Close))*60),0)))</f>
        <v>45038.711805555555</v>
      </c>
      <c r="Q19" s="87"/>
    </row>
    <row r="20" spans="2:17" ht="17" customHeight="1" x14ac:dyDescent="0.15">
      <c r="B20" s="82"/>
      <c r="C20" s="3" t="s">
        <v>12</v>
      </c>
      <c r="D20" s="26">
        <v>250.8</v>
      </c>
      <c r="E20" s="75" t="s">
        <v>97</v>
      </c>
      <c r="F20" s="76" t="s">
        <v>103</v>
      </c>
      <c r="G20" s="76" t="s">
        <v>114</v>
      </c>
      <c r="H20" s="77" t="s">
        <v>115</v>
      </c>
      <c r="I20" s="76" t="s">
        <v>116</v>
      </c>
      <c r="J20" s="76"/>
      <c r="K20" s="77" t="s">
        <v>121</v>
      </c>
      <c r="L20">
        <f t="shared" si="1"/>
        <v>7.4699</v>
      </c>
      <c r="M20">
        <f t="shared" si="0"/>
        <v>16.720000000000002</v>
      </c>
      <c r="N20" s="5">
        <f>IF(ISBLANK(Distance),"",Open_time Control_1+(INT(Open)&amp;":"&amp;IF(ROUND(((Open-INT(Open))*60),0)&lt;10,0,"")&amp;ROUND(((Open-INT(Open))*60),0)))</f>
        <v>45038.561111111114</v>
      </c>
      <c r="O20" s="5">
        <f>IF(ISBLANK(Distance),"",Open_time Control_1+(INT(Close)&amp;":"&amp;IF(ROUND(((Close-INT(Close))*60),0)&lt;10,0,"")&amp;ROUND(((Close-INT(Close))*60),0)))</f>
        <v>45038.946527777778</v>
      </c>
    </row>
    <row r="21" spans="2:17" ht="17" customHeight="1" x14ac:dyDescent="0.15">
      <c r="B21" s="82"/>
      <c r="C21" s="3" t="s">
        <v>13</v>
      </c>
      <c r="D21" s="26">
        <v>302.39999999999998</v>
      </c>
      <c r="E21" s="75" t="s">
        <v>92</v>
      </c>
      <c r="F21" s="76" t="s">
        <v>100</v>
      </c>
      <c r="G21" s="76" t="s">
        <v>117</v>
      </c>
      <c r="H21" s="77" t="s">
        <v>118</v>
      </c>
      <c r="I21" s="76"/>
      <c r="J21" s="76"/>
      <c r="K21" s="77"/>
      <c r="L21">
        <f t="shared" si="1"/>
        <v>9.0823999999999998</v>
      </c>
      <c r="M21">
        <f t="shared" si="0"/>
        <v>20</v>
      </c>
      <c r="N21" s="5">
        <f>IF(ISBLANK(Distance),"",Open_time Control_1+(INT(Open)&amp;":"&amp;IF(ROUND(((Open-INT(Open))*60),0)&lt;10,0,"")&amp;ROUND(((Open-INT(Open))*60),0)))</f>
        <v>45038.628472222219</v>
      </c>
      <c r="O21" s="5">
        <f>IF(ISBLANK(Distance),"",Open_time Control_1+(INT(Close)&amp;":"&amp;IF(ROUND(((Close-INT(Close))*60),0)&lt;10,0,"")&amp;ROUND(((Close-INT(Close))*60),0)))</f>
        <v>45039.083333333336</v>
      </c>
    </row>
    <row r="22" spans="2:17" ht="17" customHeight="1" x14ac:dyDescent="0.15">
      <c r="B22" s="82"/>
      <c r="C22" s="3" t="s">
        <v>14</v>
      </c>
      <c r="D22" s="26"/>
      <c r="E22" s="75"/>
      <c r="F22" s="76"/>
      <c r="G22" s="76"/>
      <c r="H22" s="77"/>
      <c r="I22" s="76"/>
      <c r="J22" s="76"/>
      <c r="K22" s="77"/>
      <c r="L22" t="str">
        <f t="shared" si="1"/>
        <v/>
      </c>
      <c r="M22" t="str">
        <f t="shared" si="0"/>
        <v/>
      </c>
      <c r="N22" s="5" t="str">
        <f>IF(ISBLANK(Distance),"",Open_time Control_1+(INT(Open)&amp;":"&amp;IF(ROUND(((Open-INT(Open))*60),0)&lt;10,0,"")&amp;ROUND(((Open-INT(Open))*60),0)))</f>
        <v/>
      </c>
      <c r="O22" s="5" t="str">
        <f>IF(ISBLANK(Distance),"",Open_time Control_1+(INT(Close)&amp;":"&amp;IF(ROUND(((Close-INT(Close))*60),0)&lt;10,0,"")&amp;ROUND(((Close-INT(Close))*60),0)))</f>
        <v/>
      </c>
    </row>
    <row r="23" spans="2:17" ht="17" customHeight="1" x14ac:dyDescent="0.15">
      <c r="B23" s="82"/>
      <c r="C23" s="3" t="s">
        <v>15</v>
      </c>
      <c r="D23" s="26"/>
      <c r="E23" s="75"/>
      <c r="F23" s="76"/>
      <c r="G23" s="76"/>
      <c r="H23" s="77"/>
      <c r="I23" s="76"/>
      <c r="J23" s="76"/>
      <c r="K23" s="77"/>
      <c r="L23" t="str">
        <f t="shared" si="1"/>
        <v/>
      </c>
      <c r="M23" t="str">
        <f t="shared" si="0"/>
        <v/>
      </c>
      <c r="N23" s="5" t="str">
        <f>IF(ISBLANK(Distance),"",Open_time Control_1+(INT(Open)&amp;":"&amp;IF(ROUND(((Open-INT(Open))*60),0)&lt;10,0,"")&amp;ROUND(((Open-INT(Open))*60),0)))</f>
        <v/>
      </c>
      <c r="O23" s="5" t="str">
        <f>IF(ISBLANK(Distance),"",Open_time Control_1+(INT(Close)&amp;":"&amp;IF(ROUND(((Close-INT(Close))*60),0)&lt;10,0,"")&amp;ROUND(((Close-INT(Close))*60),0)))</f>
        <v/>
      </c>
    </row>
    <row r="24" spans="2:17" ht="17" customHeight="1" thickBot="1" x14ac:dyDescent="0.2">
      <c r="B24" s="82"/>
      <c r="C24" s="3" t="s">
        <v>16</v>
      </c>
      <c r="D24" s="52"/>
      <c r="E24" s="78"/>
      <c r="F24" s="79"/>
      <c r="G24" s="79"/>
      <c r="H24" s="80"/>
      <c r="I24" s="79"/>
      <c r="J24" s="79"/>
      <c r="K24" s="80"/>
      <c r="L24" t="str">
        <f t="shared" si="1"/>
        <v/>
      </c>
      <c r="M24" t="str">
        <f t="shared" si="0"/>
        <v/>
      </c>
      <c r="N24" s="5" t="str">
        <f>IF(ISBLANK(Distance),"",Open_time Control_1+(INT(Open)&amp;":"&amp;IF(ROUND(((Open-INT(Open))*60),0)&lt;10,0,"")&amp;ROUND(((Open-INT(Open))*60),0)))</f>
        <v/>
      </c>
      <c r="O24" s="5" t="str">
        <f>IF(ISBLANK(Distance),"",Open_time Control_1+(INT(Close)&amp;":"&amp;IF(ROUND(((Close-INT(Close))*60),0)&lt;10,0,"")&amp;ROUND(((Close-INT(Close))*60),0)))</f>
        <v/>
      </c>
    </row>
    <row r="25" spans="2:17" ht="7" customHeight="1" thickBot="1" x14ac:dyDescent="0.25">
      <c r="D25" s="65"/>
      <c r="E25" s="66"/>
      <c r="F25" s="67"/>
      <c r="G25" s="67"/>
      <c r="H25" s="67"/>
      <c r="I25" s="67"/>
      <c r="J25" s="67"/>
      <c r="K25" s="68"/>
      <c r="N25" s="5"/>
      <c r="O25" s="5"/>
    </row>
    <row r="26" spans="2:17" ht="14" thickBot="1" x14ac:dyDescent="0.2">
      <c r="D26" s="115" t="s">
        <v>77</v>
      </c>
      <c r="E26" s="116"/>
      <c r="F26" s="116"/>
      <c r="G26" s="116"/>
      <c r="H26" s="116"/>
      <c r="I26" s="124" t="s">
        <v>72</v>
      </c>
      <c r="J26" s="116"/>
      <c r="K26" s="117"/>
    </row>
    <row r="27" spans="2:17" ht="14" thickBot="1" x14ac:dyDescent="0.2">
      <c r="D27" s="6" t="s">
        <v>24</v>
      </c>
      <c r="E27" s="7" t="s">
        <v>25</v>
      </c>
      <c r="F27" s="63" t="s">
        <v>26</v>
      </c>
      <c r="G27" s="63" t="s">
        <v>27</v>
      </c>
      <c r="H27" s="64" t="s">
        <v>28</v>
      </c>
      <c r="I27" s="7" t="s">
        <v>60</v>
      </c>
      <c r="J27" s="7" t="s">
        <v>61</v>
      </c>
      <c r="K27" s="8" t="s">
        <v>62</v>
      </c>
      <c r="L27" t="s">
        <v>3</v>
      </c>
      <c r="M27" t="s">
        <v>4</v>
      </c>
      <c r="N27" t="s">
        <v>5</v>
      </c>
      <c r="O27" t="s">
        <v>6</v>
      </c>
    </row>
    <row r="28" spans="2:17" ht="17" customHeight="1" x14ac:dyDescent="0.15">
      <c r="D28" s="26"/>
      <c r="E28" s="75"/>
      <c r="F28" s="76"/>
      <c r="G28" s="76"/>
      <c r="H28" s="77"/>
      <c r="I28" s="76"/>
      <c r="J28" s="76"/>
      <c r="K28" s="77"/>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5" t="str">
        <f>IF(ISBLANK(D28),"",Open_time Control_1+(INT(L28)&amp;":"&amp;IF(ROUND(((L28-INT(L28))*60),0)&lt;10,0,"")&amp;ROUND(((L28-INT(L28))*60),0)))</f>
        <v/>
      </c>
      <c r="O28" s="5" t="str">
        <f>IF(ISBLANK(D28),"",Open_time Control_1+(INT(M28)&amp;":"&amp;IF(ROUND(((M28-INT(M28))*60),0)&lt;10,0,"")&amp;ROUND(((M28-INT(M28))*60),0)))</f>
        <v/>
      </c>
    </row>
    <row r="29" spans="2:17" ht="17" customHeight="1" x14ac:dyDescent="0.15">
      <c r="D29" s="26"/>
      <c r="E29" s="75"/>
      <c r="F29" s="76"/>
      <c r="G29" s="76"/>
      <c r="H29" s="77"/>
      <c r="I29" s="76"/>
      <c r="J29" s="76"/>
      <c r="K29" s="77"/>
      <c r="L29" t="str">
        <f t="shared" ref="L29:L37" si="3">IF(ISBLANK(D29),"",IF(D29&gt;1000,(D29-1000)/26+33.0847,(IF(D29&gt;600,(D29-600)/28+18.799,(IF(D29&gt;400,(D29-400)/30+12.1324,(IF(D29&gt;200,(D29-200)/32+5.8824,D29/34))))))))</f>
        <v/>
      </c>
      <c r="M29" t="str">
        <f t="shared" si="2"/>
        <v/>
      </c>
      <c r="N29" s="5" t="str">
        <f>IF(ISBLANK(D29),"",Open_time Control_1+(INT(L29)&amp;":"&amp;IF(ROUND(((L29-INT(L29))*60),0)&lt;10,0,"")&amp;ROUND(((L29-INT(L29))*60),0)))</f>
        <v/>
      </c>
      <c r="O29" s="5" t="str">
        <f>IF(ISBLANK(D29),"",Open_time Control_1+(INT(M29)&amp;":"&amp;IF(ROUND(((M29-INT(M29))*60),0)&lt;10,0,"")&amp;ROUND(((M29-INT(M29))*60),0)))</f>
        <v/>
      </c>
    </row>
    <row r="30" spans="2:17" ht="17" customHeight="1" x14ac:dyDescent="0.15">
      <c r="D30" s="26"/>
      <c r="E30" s="75"/>
      <c r="F30" s="76"/>
      <c r="G30" s="76"/>
      <c r="H30" s="77"/>
      <c r="I30" s="76"/>
      <c r="J30" s="76"/>
      <c r="K30" s="77"/>
      <c r="L30" t="str">
        <f t="shared" si="3"/>
        <v/>
      </c>
      <c r="M30" t="str">
        <f t="shared" si="2"/>
        <v/>
      </c>
      <c r="N30" s="5" t="str">
        <f>IF(ISBLANK(D30),"",Open_time Control_1+(INT(L30)&amp;":"&amp;IF(ROUND(((L30-INT(L30))*60),0)&lt;10,0,"")&amp;ROUND(((L30-INT(L30))*60),0)))</f>
        <v/>
      </c>
      <c r="O30" s="5" t="str">
        <f>IF(ISBLANK(D30),"",Open_time Control_1+(INT(M30)&amp;":"&amp;IF(ROUND(((M30-INT(M30))*60),0)&lt;10,0,"")&amp;ROUND(((M30-INT(M30))*60),0)))</f>
        <v/>
      </c>
    </row>
    <row r="31" spans="2:17" ht="17" customHeight="1" x14ac:dyDescent="0.15">
      <c r="D31" s="26"/>
      <c r="E31" s="75"/>
      <c r="F31" s="76"/>
      <c r="G31" s="76"/>
      <c r="H31" s="77"/>
      <c r="I31" s="76"/>
      <c r="J31" s="76"/>
      <c r="K31" s="77"/>
      <c r="L31" t="str">
        <f t="shared" si="3"/>
        <v/>
      </c>
      <c r="M31" t="str">
        <f t="shared" si="2"/>
        <v/>
      </c>
      <c r="N31" s="5" t="str">
        <f>IF(ISBLANK(D31),"",Open_time Control_1+(INT(L31)&amp;":"&amp;IF(ROUND(((L31-INT(L31))*60),0)&lt;10,0,"")&amp;ROUND(((L31-INT(L31))*60),0)))</f>
        <v/>
      </c>
      <c r="O31" s="5" t="str">
        <f>IF(ISBLANK(D31),"",Open_time Control_1+(INT(M31)&amp;":"&amp;IF(ROUND(((M31-INT(M31))*60),0)&lt;10,0,"")&amp;ROUND(((M31-INT(M31))*60),0)))</f>
        <v/>
      </c>
    </row>
    <row r="32" spans="2:17" ht="17" customHeight="1" x14ac:dyDescent="0.15">
      <c r="D32" s="26"/>
      <c r="E32" s="75"/>
      <c r="F32" s="76"/>
      <c r="G32" s="76"/>
      <c r="H32" s="77"/>
      <c r="I32" s="76"/>
      <c r="J32" s="76"/>
      <c r="K32" s="77"/>
      <c r="L32" t="str">
        <f t="shared" si="3"/>
        <v/>
      </c>
      <c r="M32" t="str">
        <f t="shared" si="2"/>
        <v/>
      </c>
      <c r="N32" s="5" t="str">
        <f>IF(ISBLANK(D32),"",Open_time Control_1+(INT(L32)&amp;":"&amp;IF(ROUND(((L32-INT(L32))*60),0)&lt;10,0,"")&amp;ROUND(((L32-INT(L32))*60),0)))</f>
        <v/>
      </c>
      <c r="O32" s="5" t="str">
        <f>IF(ISBLANK(D32),"",Open_time Control_1+(INT(M32)&amp;":"&amp;IF(ROUND(((M32-INT(M32))*60),0)&lt;10,0,"")&amp;ROUND(((M32-INT(M32))*60),0)))</f>
        <v/>
      </c>
    </row>
    <row r="33" spans="4:15" ht="17" customHeight="1" x14ac:dyDescent="0.15">
      <c r="D33" s="26"/>
      <c r="E33" s="75"/>
      <c r="F33" s="76"/>
      <c r="G33" s="76"/>
      <c r="H33" s="77"/>
      <c r="I33" s="76"/>
      <c r="J33" s="76"/>
      <c r="K33" s="77"/>
      <c r="L33" t="str">
        <f t="shared" si="3"/>
        <v/>
      </c>
      <c r="M33" t="str">
        <f t="shared" si="2"/>
        <v/>
      </c>
      <c r="N33" s="5" t="str">
        <f>IF(ISBLANK(D33),"",Open_time Control_1+(INT(L33)&amp;":"&amp;IF(ROUND(((L33-INT(L33))*60),0)&lt;10,0,"")&amp;ROUND(((L33-INT(L33))*60),0)))</f>
        <v/>
      </c>
      <c r="O33" s="5" t="str">
        <f>IF(ISBLANK(D33),"",Open_time Control_1+(INT(M33)&amp;":"&amp;IF(ROUND(((M33-INT(M33))*60),0)&lt;10,0,"")&amp;ROUND(((M33-INT(M33))*60),0)))</f>
        <v/>
      </c>
    </row>
    <row r="34" spans="4:15" ht="17" customHeight="1" x14ac:dyDescent="0.15">
      <c r="D34" s="26"/>
      <c r="E34" s="75"/>
      <c r="F34" s="76"/>
      <c r="G34" s="76"/>
      <c r="H34" s="77"/>
      <c r="I34" s="76"/>
      <c r="J34" s="76"/>
      <c r="K34" s="77"/>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 customHeight="1" x14ac:dyDescent="0.15">
      <c r="D35" s="26"/>
      <c r="E35" s="75"/>
      <c r="F35" s="76"/>
      <c r="G35" s="76"/>
      <c r="H35" s="77"/>
      <c r="I35" s="76"/>
      <c r="J35" s="76"/>
      <c r="K35" s="77"/>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6"/>
      <c r="E36" s="75"/>
      <c r="F36" s="76"/>
      <c r="G36" s="76"/>
      <c r="H36" s="77"/>
      <c r="I36" s="76"/>
      <c r="J36" s="76"/>
      <c r="K36" s="77"/>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52"/>
      <c r="E37" s="78"/>
      <c r="F37" s="79"/>
      <c r="G37" s="79"/>
      <c r="H37" s="80"/>
      <c r="I37" s="79"/>
      <c r="J37" s="79"/>
      <c r="K37" s="80"/>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65"/>
      <c r="E38" s="66"/>
      <c r="F38" s="67"/>
      <c r="G38" s="67"/>
      <c r="H38" s="67"/>
      <c r="I38" s="67"/>
      <c r="J38" s="67"/>
      <c r="K38" s="68"/>
      <c r="N38" s="5"/>
      <c r="O38" s="5"/>
    </row>
    <row r="39" spans="4:15" ht="14" thickBot="1" x14ac:dyDescent="0.2">
      <c r="D39" s="115" t="s">
        <v>79</v>
      </c>
      <c r="E39" s="116"/>
      <c r="F39" s="116"/>
      <c r="G39" s="116"/>
      <c r="H39" s="116"/>
      <c r="I39" s="115" t="s">
        <v>78</v>
      </c>
      <c r="J39" s="116"/>
      <c r="K39" s="117"/>
    </row>
    <row r="40" spans="4:15" ht="14" thickBot="1" x14ac:dyDescent="0.2">
      <c r="D40" s="6" t="s">
        <v>24</v>
      </c>
      <c r="E40" s="7" t="s">
        <v>25</v>
      </c>
      <c r="F40" s="63" t="s">
        <v>26</v>
      </c>
      <c r="G40" s="63" t="s">
        <v>27</v>
      </c>
      <c r="H40" s="88" t="s">
        <v>28</v>
      </c>
      <c r="I40" s="7" t="s">
        <v>60</v>
      </c>
      <c r="J40" s="7" t="s">
        <v>61</v>
      </c>
      <c r="K40" s="8" t="s">
        <v>62</v>
      </c>
      <c r="L40" t="s">
        <v>3</v>
      </c>
      <c r="M40" t="s">
        <v>4</v>
      </c>
      <c r="N40" t="s">
        <v>5</v>
      </c>
      <c r="O40" t="s">
        <v>6</v>
      </c>
    </row>
    <row r="41" spans="4:15" ht="17" customHeight="1" x14ac:dyDescent="0.15">
      <c r="D41" s="26"/>
      <c r="E41" s="75"/>
      <c r="F41" s="76"/>
      <c r="G41" s="76"/>
      <c r="H41" s="77"/>
      <c r="I41" s="76"/>
      <c r="J41" s="76"/>
      <c r="K41" s="77"/>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6"/>
      <c r="E42" s="75"/>
      <c r="F42" s="76"/>
      <c r="G42" s="76"/>
      <c r="H42" s="77"/>
      <c r="I42" s="76"/>
      <c r="J42" s="76"/>
      <c r="K42" s="77"/>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6"/>
      <c r="E43" s="75"/>
      <c r="F43" s="76"/>
      <c r="G43" s="76"/>
      <c r="H43" s="77"/>
      <c r="I43" s="76"/>
      <c r="J43" s="76"/>
      <c r="K43" s="77"/>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6"/>
      <c r="E44" s="75"/>
      <c r="F44" s="76"/>
      <c r="G44" s="76"/>
      <c r="H44" s="77"/>
      <c r="I44" s="76"/>
      <c r="J44" s="76"/>
      <c r="K44" s="77"/>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6"/>
      <c r="E45" s="75"/>
      <c r="F45" s="76"/>
      <c r="G45" s="76"/>
      <c r="H45" s="77"/>
      <c r="I45" s="76"/>
      <c r="J45" s="76"/>
      <c r="K45" s="77"/>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6"/>
      <c r="E46" s="75"/>
      <c r="F46" s="76"/>
      <c r="G46" s="76"/>
      <c r="H46" s="77"/>
      <c r="I46" s="76"/>
      <c r="J46" s="76"/>
      <c r="K46" s="7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6"/>
      <c r="E47" s="75"/>
      <c r="F47" s="76"/>
      <c r="G47" s="76"/>
      <c r="H47" s="77"/>
      <c r="I47" s="76"/>
      <c r="J47" s="76"/>
      <c r="K47" s="77"/>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6"/>
      <c r="E48" s="75"/>
      <c r="F48" s="76"/>
      <c r="G48" s="76"/>
      <c r="H48" s="77"/>
      <c r="I48" s="76"/>
      <c r="J48" s="76"/>
      <c r="K48" s="77"/>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6"/>
      <c r="E49" s="75"/>
      <c r="F49" s="76"/>
      <c r="G49" s="76"/>
      <c r="H49" s="77"/>
      <c r="I49" s="76"/>
      <c r="J49" s="76"/>
      <c r="K49" s="77"/>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52"/>
      <c r="E50" s="78"/>
      <c r="F50" s="79"/>
      <c r="G50" s="79"/>
      <c r="H50" s="80"/>
      <c r="I50" s="79"/>
      <c r="J50" s="79"/>
      <c r="K50" s="80"/>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65"/>
      <c r="E51" s="66"/>
      <c r="F51" s="67"/>
      <c r="G51" s="67"/>
      <c r="H51" s="67"/>
      <c r="I51" s="67"/>
      <c r="J51" s="67"/>
      <c r="K51" s="68"/>
      <c r="N51" s="5"/>
      <c r="O51" s="5"/>
    </row>
    <row r="52" spans="4:15" ht="14" thickBot="1" x14ac:dyDescent="0.2">
      <c r="D52" s="115" t="s">
        <v>87</v>
      </c>
      <c r="E52" s="116"/>
      <c r="F52" s="116"/>
      <c r="G52" s="116"/>
      <c r="H52" s="116"/>
      <c r="I52" s="115" t="s">
        <v>88</v>
      </c>
      <c r="J52" s="116"/>
      <c r="K52" s="117"/>
    </row>
    <row r="53" spans="4:15" ht="14" thickBot="1" x14ac:dyDescent="0.2">
      <c r="D53" s="6" t="s">
        <v>24</v>
      </c>
      <c r="E53" s="7" t="s">
        <v>25</v>
      </c>
      <c r="F53" s="63" t="s">
        <v>26</v>
      </c>
      <c r="G53" s="63" t="s">
        <v>27</v>
      </c>
      <c r="H53" s="88" t="s">
        <v>28</v>
      </c>
      <c r="I53" s="7" t="s">
        <v>60</v>
      </c>
      <c r="J53" s="7" t="s">
        <v>61</v>
      </c>
      <c r="K53" s="8" t="s">
        <v>62</v>
      </c>
      <c r="L53" t="s">
        <v>3</v>
      </c>
      <c r="M53" t="s">
        <v>4</v>
      </c>
      <c r="N53" t="s">
        <v>5</v>
      </c>
      <c r="O53" t="s">
        <v>6</v>
      </c>
    </row>
    <row r="54" spans="4:15" ht="17" customHeight="1" x14ac:dyDescent="0.15">
      <c r="D54" s="26"/>
      <c r="E54" s="75"/>
      <c r="F54" s="76"/>
      <c r="G54" s="76"/>
      <c r="H54" s="77"/>
      <c r="I54" s="76"/>
      <c r="J54" s="76"/>
      <c r="K54" s="77"/>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6"/>
      <c r="E55" s="75"/>
      <c r="F55" s="76"/>
      <c r="G55" s="76"/>
      <c r="H55" s="77"/>
      <c r="I55" s="76"/>
      <c r="J55" s="76"/>
      <c r="K55" s="77"/>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6"/>
      <c r="E56" s="75"/>
      <c r="F56" s="76"/>
      <c r="G56" s="76"/>
      <c r="H56" s="77"/>
      <c r="I56" s="76"/>
      <c r="J56" s="76"/>
      <c r="K56" s="77"/>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6"/>
      <c r="E57" s="75"/>
      <c r="F57" s="76"/>
      <c r="G57" s="76"/>
      <c r="H57" s="77"/>
      <c r="I57" s="76"/>
      <c r="J57" s="76"/>
      <c r="K57" s="77"/>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6"/>
      <c r="E58" s="75"/>
      <c r="F58" s="76"/>
      <c r="G58" s="76"/>
      <c r="H58" s="77"/>
      <c r="I58" s="76"/>
      <c r="J58" s="76"/>
      <c r="K58" s="77"/>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6"/>
      <c r="E59" s="75"/>
      <c r="F59" s="76"/>
      <c r="G59" s="76"/>
      <c r="H59" s="77"/>
      <c r="I59" s="76"/>
      <c r="J59" s="76"/>
      <c r="K59" s="77"/>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6"/>
      <c r="E60" s="75"/>
      <c r="F60" s="76"/>
      <c r="G60" s="76"/>
      <c r="H60" s="77"/>
      <c r="I60" s="76"/>
      <c r="J60" s="76"/>
      <c r="K60" s="77"/>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6"/>
      <c r="E61" s="75"/>
      <c r="F61" s="76"/>
      <c r="G61" s="76"/>
      <c r="H61" s="77"/>
      <c r="I61" s="76"/>
      <c r="J61" s="76"/>
      <c r="K61" s="77"/>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6"/>
      <c r="E62" s="75"/>
      <c r="F62" s="76"/>
      <c r="G62" s="76"/>
      <c r="H62" s="77"/>
      <c r="I62" s="76"/>
      <c r="J62" s="76"/>
      <c r="K62" s="77"/>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52"/>
      <c r="E63" s="78"/>
      <c r="F63" s="79"/>
      <c r="G63" s="79"/>
      <c r="H63" s="80"/>
      <c r="I63" s="79"/>
      <c r="J63" s="79"/>
      <c r="K63" s="80"/>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algorithmName="SHA-512" hashValue="hXqSV0bU1chupEFDmG8jcGyvWNS5PnswRem4CQMjxQ0nMAu2s0QEHhTqcZepwEmcZ4YXOuX/yUKRZfDjv3IWAw==" saltValue="rHiEE/Oer+IiCcmxqua5ww==" spinCount="100000" sheet="1" objects="1" scenarios="1" formatCells="0" selectLockedCells="1"/>
  <mergeCells count="12">
    <mergeCell ref="D52:H52"/>
    <mergeCell ref="I52:K52"/>
    <mergeCell ref="Q1:Z5"/>
    <mergeCell ref="A1:H1"/>
    <mergeCell ref="B8:H8"/>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zoomScale="92" zoomScaleNormal="92" zoomScalePageLayoutView="92" workbookViewId="0">
      <selection activeCell="F14" sqref="F14"/>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9" width="8.83203125" customWidth="1"/>
  </cols>
  <sheetData>
    <row r="1" spans="1:22" ht="21" thickBot="1" x14ac:dyDescent="0.2">
      <c r="A1" s="140" t="s">
        <v>80</v>
      </c>
      <c r="B1" s="140"/>
      <c r="C1" s="140"/>
      <c r="D1" s="140"/>
      <c r="E1" s="140"/>
      <c r="F1" s="140"/>
      <c r="G1" s="140"/>
      <c r="H1" s="27" t="s">
        <v>29</v>
      </c>
    </row>
    <row r="2" spans="1:22" ht="33.75" customHeight="1" thickBot="1" x14ac:dyDescent="0.25">
      <c r="A2" s="74" t="s">
        <v>30</v>
      </c>
      <c r="B2" s="9" t="s">
        <v>3</v>
      </c>
      <c r="C2" s="9" t="s">
        <v>4</v>
      </c>
      <c r="D2" s="9" t="s">
        <v>25</v>
      </c>
      <c r="E2" s="9" t="s">
        <v>31</v>
      </c>
      <c r="F2" s="9" t="s">
        <v>59</v>
      </c>
      <c r="G2" s="74" t="s">
        <v>32</v>
      </c>
      <c r="H2" s="27" t="s">
        <v>29</v>
      </c>
      <c r="K2" s="145" t="s">
        <v>55</v>
      </c>
      <c r="L2" s="145"/>
      <c r="M2" s="145"/>
      <c r="N2" s="145"/>
      <c r="O2" s="145"/>
      <c r="P2" s="145"/>
      <c r="Q2" s="145"/>
      <c r="R2" s="145"/>
      <c r="S2" s="145"/>
      <c r="T2" s="145"/>
      <c r="U2" s="145"/>
    </row>
    <row r="3" spans="1:22" ht="36" customHeight="1" x14ac:dyDescent="0.45">
      <c r="A3" s="29"/>
      <c r="B3" s="30">
        <f>Control_1 Open_time</f>
        <v>45038.25</v>
      </c>
      <c r="C3" s="30">
        <f>Control_1 Close_time</f>
        <v>45038.291666666664</v>
      </c>
      <c r="D3" s="31"/>
      <c r="E3" s="32" t="str">
        <f>IF(ISBLANK(Control_1 Establishment_1),"",Control_1 Establishment_1)</f>
        <v>STAFFED</v>
      </c>
      <c r="F3" s="96" t="str">
        <f>IF(ISBLANK('Control Entry'!I15),"",'Control Entry'!I15)</f>
        <v/>
      </c>
      <c r="G3" s="97"/>
      <c r="H3" s="27" t="s">
        <v>29</v>
      </c>
      <c r="K3" s="14"/>
      <c r="O3" s="129" t="s">
        <v>33</v>
      </c>
      <c r="P3" s="129"/>
      <c r="Q3" s="129"/>
      <c r="R3" s="129"/>
      <c r="S3" s="85" t="str">
        <f>IF('Control Entry'!D28=0,"","#1")</f>
        <v/>
      </c>
      <c r="U3" s="42"/>
    </row>
    <row r="4" spans="1:22" ht="36" customHeight="1" x14ac:dyDescent="0.2">
      <c r="A4" s="38">
        <f>IF(ISBLANK(Distance Control_1),"",Control_1 Distance)</f>
        <v>0</v>
      </c>
      <c r="B4" s="39">
        <f>Control_1 Open_time</f>
        <v>45038.25</v>
      </c>
      <c r="C4" s="39">
        <f>Control_1 Close_time</f>
        <v>45038.291666666664</v>
      </c>
      <c r="D4" s="40" t="str">
        <f>IF(ISBLANK(Locale Control_1),"",Locale Control_1)</f>
        <v>VANCOUVER</v>
      </c>
      <c r="E4" s="32" t="str">
        <f>IF(ISBLANK(Control_1 Establishment_2),"",Control_1 Establishment_2)</f>
        <v>Riley Park</v>
      </c>
      <c r="F4" s="96" t="str">
        <f>IF(ISBLANK('Control Entry'!J15),"",'Control Entry'!J15)</f>
        <v/>
      </c>
      <c r="G4" s="97"/>
      <c r="H4" s="27" t="s">
        <v>29</v>
      </c>
      <c r="K4" s="14"/>
      <c r="M4" s="126" t="str">
        <f>IF(ISBLANK(brevet),"",brevet&amp;" km Randonnée")</f>
        <v>300 km Randonnée</v>
      </c>
      <c r="N4" s="126"/>
      <c r="O4" s="126"/>
      <c r="P4" s="126"/>
      <c r="Q4" s="126"/>
      <c r="R4" s="126"/>
      <c r="S4" s="126"/>
      <c r="T4" s="126"/>
      <c r="U4" s="43"/>
    </row>
    <row r="5" spans="1:22" ht="36" customHeight="1" thickBot="1" x14ac:dyDescent="0.25">
      <c r="A5" s="33"/>
      <c r="B5" s="34">
        <f>Control_1 Open_time</f>
        <v>45038.25</v>
      </c>
      <c r="C5" s="34">
        <f>Control_1 Close_time</f>
        <v>45038.291666666664</v>
      </c>
      <c r="D5" s="35"/>
      <c r="E5" s="36" t="str">
        <f>IF(ISBLANK(Control_1 Establishment_3),"",Control_1 Establishment_3)</f>
        <v>Ontario St &amp; E30th St</v>
      </c>
      <c r="F5" s="101" t="str">
        <f>IF(ISBLANK('Control Entry'!K15),"",'Control Entry'!K15)</f>
        <v/>
      </c>
      <c r="G5" s="100"/>
      <c r="H5" s="27" t="s">
        <v>29</v>
      </c>
      <c r="K5" s="14"/>
      <c r="M5" s="15"/>
      <c r="N5" s="125" t="s">
        <v>47</v>
      </c>
      <c r="O5" s="125"/>
      <c r="P5" s="61">
        <f>IF(ISBLANK(Brevet_Number),"",Brevet_Number)</f>
        <v>5241</v>
      </c>
      <c r="Q5" s="62"/>
      <c r="R5" s="144">
        <f>IF(ISBLANK('Control Entry'!$B10),"",'Control Entry'!$B10)</f>
        <v>45038</v>
      </c>
      <c r="S5" s="144"/>
      <c r="T5" s="144"/>
      <c r="U5" s="144"/>
      <c r="V5" s="44"/>
    </row>
    <row r="6" spans="1:22" ht="36" customHeight="1" x14ac:dyDescent="0.2">
      <c r="A6" s="29"/>
      <c r="B6" s="30">
        <f>Control_2 Open_time</f>
        <v>45038.294444444444</v>
      </c>
      <c r="C6" s="30">
        <f>Control_2 Close_time</f>
        <v>45038.367361111108</v>
      </c>
      <c r="D6" s="37"/>
      <c r="E6" s="32" t="str">
        <f>IF(ISBLANK(Control_2 Establishment_1),"",Control_2 Establishment_1)</f>
        <v>INFORMATION</v>
      </c>
      <c r="F6" s="96" t="str">
        <f>IF(ISBLANK('Control Entry'!I16),"",'Control Entry'!I16)</f>
        <v xml:space="preserve">Back of Stop Sign </v>
      </c>
      <c r="G6" s="97"/>
      <c r="H6" s="27" t="s">
        <v>29</v>
      </c>
      <c r="K6" s="14"/>
      <c r="L6" s="132" t="str">
        <f>IF(ISBLANK(Brevet_Description),"",Brevet_Description)</f>
        <v>Ryder Hatzic Hills 2023</v>
      </c>
      <c r="M6" s="132"/>
      <c r="N6" s="132"/>
      <c r="O6" s="132"/>
      <c r="P6" s="132"/>
      <c r="Q6" s="132"/>
      <c r="R6" s="132"/>
      <c r="S6" s="132"/>
      <c r="T6" s="132"/>
      <c r="U6" s="132"/>
    </row>
    <row r="7" spans="1:22" ht="36" customHeight="1" x14ac:dyDescent="0.2">
      <c r="A7" s="38">
        <f>IF(ISBLANK(Distance Control_2),"",Control_2 Distance)</f>
        <v>36.299999999999997</v>
      </c>
      <c r="B7" s="39">
        <f>Control_2 Open_time</f>
        <v>45038.294444444444</v>
      </c>
      <c r="C7" s="39">
        <f>Control_2 Close_time</f>
        <v>45038.367361111108</v>
      </c>
      <c r="D7" s="40" t="str">
        <f>IF(ISBLANK(Locale Control_2),"",Locale Control_2)</f>
        <v>COQUITLAM</v>
      </c>
      <c r="E7" s="53" t="str">
        <f>IF(ISBLANK(Control_2 Establishment_2),"",Control_2 Establishment_2)</f>
        <v>Stop Sign</v>
      </c>
      <c r="F7" s="98" t="str">
        <f>IF(ISBLANK('Control Entry'!J16),"",'Control Entry'!J16)</f>
        <v>Phone Number???</v>
      </c>
      <c r="G7" s="97"/>
      <c r="H7" s="27" t="s">
        <v>29</v>
      </c>
      <c r="J7" s="84"/>
      <c r="L7" s="84"/>
    </row>
    <row r="8" spans="1:22" ht="36" customHeight="1" thickBot="1" x14ac:dyDescent="0.25">
      <c r="A8" s="33"/>
      <c r="B8" s="34">
        <f>Control_2 Open_time</f>
        <v>45038.294444444444</v>
      </c>
      <c r="C8" s="34">
        <f>Control_2 Close_time</f>
        <v>45038.367361111108</v>
      </c>
      <c r="D8" s="35"/>
      <c r="E8" s="83" t="str">
        <f>IF(ISBLANK(Control_2 Establishment_3),"",Control_2 Establishment_3)</f>
        <v>Prairie Ave @ Burns St</v>
      </c>
      <c r="F8" s="99" t="str">
        <f>IF(ISBLANK('Control Entry'!K16),"",'Control Entry'!K16)</f>
        <v>1-866-____________________</v>
      </c>
      <c r="G8" s="100"/>
      <c r="H8" s="27" t="s">
        <v>29</v>
      </c>
      <c r="J8" s="15" t="s">
        <v>34</v>
      </c>
      <c r="L8" s="146"/>
      <c r="M8" s="146"/>
      <c r="N8" s="146"/>
      <c r="O8" s="146"/>
      <c r="P8" s="146"/>
      <c r="Q8" s="146"/>
      <c r="R8" s="28"/>
      <c r="S8" s="45" t="s">
        <v>46</v>
      </c>
      <c r="T8" s="153"/>
      <c r="U8" s="153"/>
    </row>
    <row r="9" spans="1:22" ht="36" customHeight="1" thickBot="1" x14ac:dyDescent="0.3">
      <c r="A9" s="29"/>
      <c r="B9" s="30">
        <f>Control_3 Open_time</f>
        <v>45038.363888888889</v>
      </c>
      <c r="C9" s="30">
        <f>Control_3 Close_time</f>
        <v>45038.508333333331</v>
      </c>
      <c r="D9" s="37"/>
      <c r="E9" s="32" t="str">
        <f>IF(ISBLANK(Control_3 Establishment_1),"",Control_3 Establishment_1)</f>
        <v>INFORMATION</v>
      </c>
      <c r="F9" s="96" t="str">
        <f>IF(ISBLANK('Control Entry'!I17),"",'Control Entry'!I17)</f>
        <v>Noticeboard by green chainlink fence</v>
      </c>
      <c r="G9" s="97"/>
      <c r="H9" s="27" t="s">
        <v>29</v>
      </c>
      <c r="J9" s="15" t="s">
        <v>35</v>
      </c>
      <c r="K9" s="15"/>
      <c r="L9" s="134" t="s">
        <v>54</v>
      </c>
      <c r="M9" s="134"/>
      <c r="N9" s="134"/>
      <c r="O9" s="134"/>
      <c r="P9" s="134"/>
      <c r="Q9" s="134"/>
      <c r="R9" s="134"/>
      <c r="S9" s="134"/>
      <c r="T9" s="134"/>
      <c r="U9" s="134"/>
    </row>
    <row r="10" spans="1:22" ht="36" customHeight="1" thickBot="1" x14ac:dyDescent="0.3">
      <c r="A10" s="38">
        <f>IF(ISBLANK(Distance Control_3),"",Control_3 Distance)</f>
        <v>93.1</v>
      </c>
      <c r="B10" s="39">
        <f>Control_3 Open_time</f>
        <v>45038.363888888889</v>
      </c>
      <c r="C10" s="39">
        <f>Control_3 Close_time</f>
        <v>45038.508333333331</v>
      </c>
      <c r="D10" s="40" t="str">
        <f>IF(ISBLANK(Locale Control_3),"",Locale Control_3)</f>
        <v>MIRACLE VALLEY</v>
      </c>
      <c r="E10" s="32" t="str">
        <f>IF(ISBLANK(Control_3 Establishment_2),"",Control_3 Establishment_2)</f>
        <v>McConnell Creek</v>
      </c>
      <c r="F10" s="98" t="str">
        <f>IF(ISBLANK('Control Entry'!J17),"",'Control Entry'!J17)</f>
        <v>Business Card</v>
      </c>
      <c r="G10" s="97"/>
      <c r="H10" s="27" t="s">
        <v>29</v>
      </c>
      <c r="J10" s="15"/>
      <c r="K10" s="15"/>
      <c r="L10" s="135"/>
      <c r="M10" s="135"/>
      <c r="N10" s="135"/>
      <c r="O10" s="135"/>
      <c r="P10" s="135"/>
      <c r="Q10" s="135"/>
      <c r="R10" s="135"/>
      <c r="S10" s="135"/>
      <c r="T10" s="135"/>
      <c r="U10" s="135"/>
    </row>
    <row r="11" spans="1:22" ht="36" customHeight="1" thickBot="1" x14ac:dyDescent="0.3">
      <c r="A11" s="33"/>
      <c r="B11" s="34">
        <f>Control_3 Open_time</f>
        <v>45038.363888888889</v>
      </c>
      <c r="C11" s="34">
        <f>Control_3 Close_time</f>
        <v>45038.508333333331</v>
      </c>
      <c r="D11" s="35"/>
      <c r="E11" s="36" t="str">
        <f>IF(ISBLANK(Control_3 Establishment_3),"",Control_3 Establishment_3)</f>
        <v>Farmers Institute</v>
      </c>
      <c r="F11" s="101" t="str">
        <f>IF(ISBLANK('Control Entry'!K17),"",'Control Entry'!K17)</f>
        <v>"Mission ________  ________ Co"</v>
      </c>
      <c r="G11" s="100"/>
      <c r="H11" s="27" t="s">
        <v>29</v>
      </c>
      <c r="J11" s="15" t="s">
        <v>36</v>
      </c>
      <c r="K11" s="15"/>
      <c r="L11" s="135"/>
      <c r="M11" s="135"/>
      <c r="N11" s="135"/>
      <c r="O11" s="18"/>
      <c r="P11" s="18" t="s">
        <v>37</v>
      </c>
      <c r="Q11" s="18"/>
      <c r="R11" s="18"/>
      <c r="S11" s="139"/>
      <c r="T11" s="139"/>
      <c r="U11" s="139"/>
    </row>
    <row r="12" spans="1:22" ht="36" customHeight="1" thickBot="1" x14ac:dyDescent="0.3">
      <c r="A12" s="29"/>
      <c r="B12" s="30">
        <f>Control_4 Open_time</f>
        <v>45038.408333333333</v>
      </c>
      <c r="C12" s="30">
        <f>Control_4 Close_time</f>
        <v>45038.60833333333</v>
      </c>
      <c r="D12" s="37"/>
      <c r="E12" s="32" t="str">
        <f>IF(ISBLANK(Control_4 Establishment_1),"",Control_4 Establishment_1)</f>
        <v>INFORMATION</v>
      </c>
      <c r="F12" s="96" t="str">
        <f>IF(ISBLANK('Control Entry'!I18),"",'Control Entry'!I18)</f>
        <v>'Abbotsford News' bin</v>
      </c>
      <c r="G12" s="97"/>
      <c r="H12" s="27" t="s">
        <v>29</v>
      </c>
      <c r="J12" s="15" t="s">
        <v>38</v>
      </c>
      <c r="K12" s="15"/>
      <c r="L12" s="135"/>
      <c r="M12" s="135"/>
      <c r="N12" s="135"/>
      <c r="O12" s="18"/>
      <c r="P12" s="18" t="s">
        <v>39</v>
      </c>
      <c r="Q12" s="18"/>
      <c r="R12" s="18"/>
      <c r="S12" s="139"/>
      <c r="T12" s="139"/>
      <c r="U12" s="139"/>
    </row>
    <row r="13" spans="1:22" ht="36" customHeight="1" thickBot="1" x14ac:dyDescent="0.3">
      <c r="A13" s="38">
        <f>IF(ISBLANK(Distance Control_4),"",Control_4 Distance)</f>
        <v>129</v>
      </c>
      <c r="B13" s="39">
        <f>Control_4 Open_time</f>
        <v>45038.408333333333</v>
      </c>
      <c r="C13" s="39">
        <f>Control_4 Close_time</f>
        <v>45038.60833333333</v>
      </c>
      <c r="D13" s="40" t="str">
        <f>IF(ISBLANK(Locale Control_4),"",Locale Control_4)</f>
        <v>STRAITON</v>
      </c>
      <c r="E13" s="32" t="str">
        <f>IF(ISBLANK(Control_4 Establishment_2),"",Control_4 Establishment_2)</f>
        <v>South corner</v>
      </c>
      <c r="F13" s="96" t="str">
        <f>IF(ISBLANK('Control Entry'!J18),"",'Control Entry'!J18)</f>
        <v/>
      </c>
      <c r="G13" s="97"/>
      <c r="H13" s="27" t="s">
        <v>29</v>
      </c>
      <c r="J13" s="15" t="s">
        <v>40</v>
      </c>
      <c r="L13" s="138"/>
      <c r="M13" s="138"/>
      <c r="N13" s="138"/>
      <c r="O13" s="19"/>
      <c r="P13" s="18" t="s">
        <v>41</v>
      </c>
      <c r="Q13" s="18"/>
      <c r="R13" s="143"/>
      <c r="S13" s="143"/>
      <c r="T13" s="143"/>
      <c r="U13" s="143"/>
    </row>
    <row r="14" spans="1:22" ht="36" customHeight="1" thickBot="1" x14ac:dyDescent="0.25">
      <c r="A14" s="33"/>
      <c r="B14" s="34">
        <f>Control_4 Open_time</f>
        <v>45038.408333333333</v>
      </c>
      <c r="C14" s="34">
        <f>Control_4 Close_time</f>
        <v>45038.60833333333</v>
      </c>
      <c r="D14" s="35"/>
      <c r="E14" s="36" t="str">
        <f>IF(ISBLANK(Control_4 Establishment_3),"",Control_4 Establishment_3)</f>
        <v>Dawson Rd &amp; Sumas Mtn Rd</v>
      </c>
      <c r="F14" s="101" t="str">
        <f>IF(ISBLANK('Control Entry'!K18),"",'Control Entry'!K18)</f>
        <v>"Please Take Your ______  _______"</v>
      </c>
      <c r="G14" s="100"/>
      <c r="H14" s="27" t="s">
        <v>29</v>
      </c>
    </row>
    <row r="15" spans="1:22" ht="36" customHeight="1" x14ac:dyDescent="0.2">
      <c r="A15" s="29"/>
      <c r="B15" s="30">
        <f>Control_5 Open_time</f>
        <v>45038.453472222223</v>
      </c>
      <c r="C15" s="30">
        <f>Control_5 Close_time</f>
        <v>45038.711805555555</v>
      </c>
      <c r="D15" s="37"/>
      <c r="E15" s="32" t="str">
        <f>IF(ISBLANK(Control_5 Establishment_1),"",Control_5 Establishment_1)</f>
        <v>STAFFED</v>
      </c>
      <c r="F15" s="96" t="str">
        <f>IF(ISBLANK('Control Entry'!I19),"",'Control Entry'!I19)</f>
        <v/>
      </c>
      <c r="G15" s="97"/>
      <c r="H15" s="27" t="s">
        <v>29</v>
      </c>
      <c r="J15" s="15"/>
      <c r="L15" s="131" t="s">
        <v>58</v>
      </c>
      <c r="M15" s="131"/>
      <c r="N15" s="131"/>
      <c r="O15" s="131"/>
      <c r="P15" s="131"/>
      <c r="Q15" s="131"/>
      <c r="R15" s="131"/>
      <c r="S15" s="131"/>
      <c r="T15" s="131"/>
      <c r="U15" s="131"/>
    </row>
    <row r="16" spans="1:22" ht="36" customHeight="1" thickBot="1" x14ac:dyDescent="0.25">
      <c r="A16" s="38">
        <f>IF(ISBLANK(Distance Control_5),"",Control_5 Distance)</f>
        <v>166.3</v>
      </c>
      <c r="B16" s="39">
        <f>Control_5 Open_time</f>
        <v>45038.453472222223</v>
      </c>
      <c r="C16" s="39">
        <f>Control_5 Close_time</f>
        <v>45038.711805555555</v>
      </c>
      <c r="D16" s="40" t="str">
        <f>IF(ISBLANK(Locale Control_5),"",Locale Control_5)</f>
        <v>RYDER LAKE</v>
      </c>
      <c r="E16" s="32" t="str">
        <f>IF(ISBLANK(Control_5 Establishment_2),"",Control_5 Establishment_2)</f>
        <v>Ryder Lake Hall</v>
      </c>
      <c r="F16" s="96" t="str">
        <f>IF(ISBLANK('Control Entry'!J19),"",'Control Entry'!J19)</f>
        <v/>
      </c>
      <c r="G16" s="97"/>
      <c r="H16" s="27" t="s">
        <v>29</v>
      </c>
      <c r="L16" s="136"/>
      <c r="M16" s="136"/>
      <c r="N16" s="136"/>
      <c r="O16" s="136"/>
      <c r="P16" s="136"/>
      <c r="Q16" s="136"/>
      <c r="R16" s="136"/>
      <c r="S16" s="136"/>
      <c r="T16" s="136"/>
      <c r="U16" s="136"/>
    </row>
    <row r="17" spans="1:22" ht="36" customHeight="1" thickBot="1" x14ac:dyDescent="0.25">
      <c r="A17" s="33"/>
      <c r="B17" s="34">
        <f>Control_5 Open_time</f>
        <v>45038.453472222223</v>
      </c>
      <c r="C17" s="34">
        <f>Control_5 Close_time</f>
        <v>45038.711805555555</v>
      </c>
      <c r="D17" s="35"/>
      <c r="E17" s="36" t="str">
        <f>IF(ISBLANK(Control_5 Establishment_3),"",Control_5 Establishment_3)</f>
        <v>49265 Elk View Rd</v>
      </c>
      <c r="F17" s="101" t="str">
        <f>IF(ISBLANK('Control Entry'!K19),"",'Control Entry'!K19)</f>
        <v/>
      </c>
      <c r="G17" s="100"/>
      <c r="H17" s="27" t="s">
        <v>29</v>
      </c>
    </row>
    <row r="18" spans="1:22" ht="36" customHeight="1" x14ac:dyDescent="0.2">
      <c r="A18" s="29"/>
      <c r="B18" s="30">
        <f>Control_6 Open_time</f>
        <v>45038.561111111114</v>
      </c>
      <c r="C18" s="30">
        <f>Control_6 Close_time</f>
        <v>45038.946527777778</v>
      </c>
      <c r="D18" s="37"/>
      <c r="E18" s="32" t="str">
        <f>IF(ISBLANK(Control_6 Establishment_1),"",Control_6 Establishment_1)</f>
        <v>INFORMATION</v>
      </c>
      <c r="F18" s="96" t="str">
        <f>IF(ISBLANK('Control Entry'!I20),"",'Control Entry'!I20)</f>
        <v>Concrete Disk below fish</v>
      </c>
      <c r="G18" s="97"/>
      <c r="H18" s="27" t="s">
        <v>29</v>
      </c>
    </row>
    <row r="19" spans="1:22" ht="36" customHeight="1" x14ac:dyDescent="0.2">
      <c r="A19" s="38">
        <f>IF(ISBLANK(Distance Control_6),"",Control_6 Distance)</f>
        <v>250.8</v>
      </c>
      <c r="B19" s="39">
        <f>Control_6 Open_time</f>
        <v>45038.561111111114</v>
      </c>
      <c r="C19" s="39">
        <f>Control_6 Close_time</f>
        <v>45038.946527777778</v>
      </c>
      <c r="D19" s="40" t="str">
        <f>IF(ISBLANK(Locale Control_6),"",Locale Control_6)</f>
        <v>FORT LANGLEY</v>
      </c>
      <c r="E19" s="32" t="str">
        <f>IF(ISBLANK(Control_6 Establishment_2),"",Control_6 Establishment_2)</f>
        <v>Mavis Ave @ Glover Rd</v>
      </c>
      <c r="F19" s="96" t="str">
        <f>IF(ISBLANK('Control Entry'!J20),"",'Control Entry'!J20)</f>
        <v/>
      </c>
      <c r="G19" s="97"/>
      <c r="H19" s="27" t="s">
        <v>29</v>
      </c>
    </row>
    <row r="20" spans="1:22" ht="36" customHeight="1" thickBot="1" x14ac:dyDescent="0.25">
      <c r="A20" s="33"/>
      <c r="B20" s="34">
        <f>Control_6 Open_time</f>
        <v>45038.561111111114</v>
      </c>
      <c r="C20" s="34">
        <f>Control_6 Close_time</f>
        <v>45038.946527777778</v>
      </c>
      <c r="D20" s="35"/>
      <c r="E20" s="36" t="str">
        <f>IF(ISBLANK(Control_6 Establishment_3),"",Control_6 Establishment_3)</f>
        <v>NE corner on sidewalk</v>
      </c>
      <c r="F20" s="101" t="str">
        <f>IF(ISBLANK('Control Entry'!K20),"",'Control Entry'!K20)</f>
        <v>"_________   __________" ca 1960's</v>
      </c>
      <c r="G20" s="100"/>
      <c r="H20" s="27" t="s">
        <v>29</v>
      </c>
      <c r="J20" s="59" t="s">
        <v>44</v>
      </c>
      <c r="K20" s="59"/>
      <c r="L20" s="154">
        <f>IF(ISBLANK('Control Entry'!B12),"",'Control Entry'!B12)</f>
        <v>45038</v>
      </c>
      <c r="M20" s="154"/>
      <c r="N20" s="154"/>
      <c r="P20" s="18" t="s">
        <v>0</v>
      </c>
      <c r="Q20" s="18"/>
      <c r="S20" s="130">
        <f>IF(ISBLANK('Control Entry'!B13),"",'Control Entry'!B13)</f>
        <v>0.25</v>
      </c>
      <c r="T20" s="130"/>
      <c r="U20" s="130"/>
    </row>
    <row r="21" spans="1:22" ht="36" customHeight="1" x14ac:dyDescent="0.2">
      <c r="A21" s="29"/>
      <c r="B21" s="30">
        <f>Control_7 Open_time</f>
        <v>45038.628472222219</v>
      </c>
      <c r="C21" s="30">
        <f>Control_7 Close_time</f>
        <v>45039.083333333336</v>
      </c>
      <c r="D21" s="37"/>
      <c r="E21" s="32" t="str">
        <f>IF(ISBLANK(Control_7 Establishment_1),"",Control_7 Establishment_1)</f>
        <v>STAFFED</v>
      </c>
      <c r="F21" s="96" t="str">
        <f>IF(ISBLANK('Control Entry'!I21),"",'Control Entry'!I21)</f>
        <v/>
      </c>
      <c r="G21" s="97"/>
      <c r="H21" s="27" t="s">
        <v>29</v>
      </c>
      <c r="J21" s="59"/>
      <c r="K21" s="59"/>
      <c r="L21" s="57"/>
      <c r="M21" s="57"/>
      <c r="N21" s="57"/>
      <c r="P21" s="18"/>
      <c r="Q21" s="18"/>
      <c r="R21" s="22"/>
      <c r="S21" s="60"/>
      <c r="T21" s="60"/>
      <c r="U21" s="60"/>
      <c r="V21" s="28"/>
    </row>
    <row r="22" spans="1:22" ht="36" customHeight="1" thickBot="1" x14ac:dyDescent="0.25">
      <c r="A22" s="38">
        <f>IF(ISBLANK(Distance Control_7),"",Control_7 Distance)</f>
        <v>302.39999999999998</v>
      </c>
      <c r="B22" s="39">
        <f>Control_7 Open_time</f>
        <v>45038.628472222219</v>
      </c>
      <c r="C22" s="39">
        <f>Control_7 Close_time</f>
        <v>45039.083333333336</v>
      </c>
      <c r="D22" s="40" t="str">
        <f>IF(ISBLANK(Locale Control_7),"",Locale Control_7)</f>
        <v>VANCOUVER</v>
      </c>
      <c r="E22" s="32" t="str">
        <f>IF(ISBLANK(Control_7 Establishment_2),"",Control_7 Establishment_2)</f>
        <v>Portland Craft</v>
      </c>
      <c r="F22" s="96" t="str">
        <f>IF(ISBLANK('Control Entry'!J21),"",'Control Entry'!J21)</f>
        <v/>
      </c>
      <c r="G22" s="97"/>
      <c r="H22" s="27" t="s">
        <v>29</v>
      </c>
      <c r="J22" s="58" t="s">
        <v>45</v>
      </c>
      <c r="K22" s="58"/>
      <c r="L22" s="137"/>
      <c r="M22" s="137"/>
      <c r="N22" s="137"/>
      <c r="O22" s="19"/>
      <c r="P22" s="18" t="s">
        <v>1</v>
      </c>
      <c r="Q22" s="18"/>
      <c r="R22" s="19"/>
      <c r="S22" s="133"/>
      <c r="T22" s="133"/>
      <c r="U22" s="133"/>
    </row>
    <row r="23" spans="1:22" ht="36" customHeight="1" thickBot="1" x14ac:dyDescent="0.25">
      <c r="A23" s="33"/>
      <c r="B23" s="34">
        <f>Control_7 Open_time</f>
        <v>45038.628472222219</v>
      </c>
      <c r="C23" s="34">
        <f>Control_7 Close_time</f>
        <v>45039.083333333336</v>
      </c>
      <c r="D23" s="35"/>
      <c r="E23" s="36" t="str">
        <f>IF(ISBLANK(Control_7 Establishment_3),"",Control_7 Establishment_3)</f>
        <v>3835 Main St</v>
      </c>
      <c r="F23" s="101" t="str">
        <f>IF(ISBLANK('Control Entry'!K21),"",'Control Entry'!K21)</f>
        <v/>
      </c>
      <c r="G23" s="100"/>
      <c r="H23" s="27" t="s">
        <v>29</v>
      </c>
      <c r="J23" s="58"/>
      <c r="K23" s="58"/>
      <c r="L23" s="57"/>
      <c r="M23" s="57"/>
      <c r="N23" s="57"/>
      <c r="O23" s="22"/>
      <c r="P23" s="56"/>
      <c r="Q23" s="56"/>
      <c r="R23" s="22"/>
      <c r="S23" s="22"/>
      <c r="T23" s="22"/>
      <c r="U23" s="22"/>
      <c r="V23" s="28"/>
    </row>
    <row r="24" spans="1:22" ht="36" customHeight="1" thickBot="1" x14ac:dyDescent="0.25">
      <c r="A24" s="29"/>
      <c r="B24" s="30" t="str">
        <f>Control_8 Open_time</f>
        <v/>
      </c>
      <c r="C24" s="30" t="str">
        <f>Control_8 Close_time</f>
        <v/>
      </c>
      <c r="D24" s="37"/>
      <c r="E24" s="32" t="str">
        <f>IF(ISBLANK(Control_8 Establishment_1),"",Control_8 Establishment_1)</f>
        <v/>
      </c>
      <c r="F24" s="96" t="str">
        <f>IF(ISBLANK('Control Entry'!I22),"",'Control Entry'!I22)</f>
        <v/>
      </c>
      <c r="G24" s="97"/>
      <c r="H24" s="27" t="s">
        <v>29</v>
      </c>
      <c r="J24" s="133"/>
      <c r="K24" s="133"/>
      <c r="L24" s="133"/>
      <c r="M24" s="133"/>
      <c r="N24" s="133"/>
      <c r="O24" s="19"/>
      <c r="P24" s="18" t="s">
        <v>2</v>
      </c>
      <c r="Q24" s="18"/>
      <c r="R24" s="19"/>
      <c r="S24" s="133"/>
      <c r="T24" s="133"/>
      <c r="U24" s="133"/>
    </row>
    <row r="25" spans="1:22" ht="36" customHeight="1" x14ac:dyDescent="0.2">
      <c r="A25" s="38" t="str">
        <f>IF(ISBLANK(Distance Control_8),"",Control_8 Distance)</f>
        <v/>
      </c>
      <c r="B25" s="39" t="str">
        <f>Control_8 Open_time</f>
        <v/>
      </c>
      <c r="C25" s="39" t="str">
        <f>Control_8 Close_time</f>
        <v/>
      </c>
      <c r="D25" s="40" t="str">
        <f>IF(ISBLANK(Locale Control_8),"",Locale Control_8)</f>
        <v/>
      </c>
      <c r="E25" s="32" t="str">
        <f>IF(ISBLANK(Control_8 Establishment_2),"",Control_8 Establishment_2)</f>
        <v/>
      </c>
      <c r="F25" s="96" t="str">
        <f>IF(ISBLANK('Control Entry'!J22),"",'Control Entry'!J22)</f>
        <v/>
      </c>
      <c r="G25" s="97"/>
      <c r="H25" s="27" t="s">
        <v>29</v>
      </c>
      <c r="J25" s="128" t="s">
        <v>17</v>
      </c>
      <c r="K25" s="128"/>
      <c r="L25" s="128"/>
      <c r="M25" s="128"/>
      <c r="N25" s="128"/>
      <c r="O25" s="51"/>
      <c r="P25" s="127"/>
      <c r="Q25" s="127"/>
      <c r="R25" s="51"/>
      <c r="S25" s="142"/>
      <c r="T25" s="142"/>
      <c r="U25" s="142"/>
      <c r="V25" s="142"/>
    </row>
    <row r="26" spans="1:22" ht="36" customHeight="1" thickBot="1" x14ac:dyDescent="0.25">
      <c r="A26" s="33"/>
      <c r="B26" s="34" t="str">
        <f>Control_8 Open_time</f>
        <v/>
      </c>
      <c r="C26" s="34" t="str">
        <f>Control_8 Close_time</f>
        <v/>
      </c>
      <c r="D26" s="35"/>
      <c r="E26" s="36" t="str">
        <f>IF(ISBLANK(Control_8 Establishment_3),"",Control_8 Establishment_3)</f>
        <v/>
      </c>
      <c r="F26" s="101" t="str">
        <f>IF(ISBLANK('Control Entry'!K22),"",'Control Entry'!K22)</f>
        <v/>
      </c>
      <c r="G26" s="100"/>
      <c r="H26" s="27" t="s">
        <v>29</v>
      </c>
    </row>
    <row r="27" spans="1:22" ht="36" customHeight="1" x14ac:dyDescent="0.2">
      <c r="A27" s="29"/>
      <c r="B27" s="30" t="str">
        <f>Control_9 Open_time</f>
        <v/>
      </c>
      <c r="C27" s="30" t="str">
        <f>Control_9 Close_time</f>
        <v/>
      </c>
      <c r="D27" s="37"/>
      <c r="E27" s="32" t="str">
        <f>IF(ISBLANK(Control_9 Establishment_1),"",Control_9 Establishment_1)</f>
        <v/>
      </c>
      <c r="F27" s="96" t="str">
        <f>IF(ISBLANK('Control Entry'!I23),"",'Control Entry'!I23)</f>
        <v/>
      </c>
      <c r="G27" s="97"/>
      <c r="H27" s="27" t="s">
        <v>29</v>
      </c>
      <c r="K27" s="126" t="s">
        <v>56</v>
      </c>
      <c r="L27" s="127"/>
      <c r="M27" s="50" t="s">
        <v>57</v>
      </c>
      <c r="N27" s="127" t="s">
        <v>49</v>
      </c>
      <c r="O27" s="127"/>
      <c r="P27" s="127" t="s">
        <v>50</v>
      </c>
      <c r="Q27" s="127"/>
      <c r="R27" s="51" t="s">
        <v>51</v>
      </c>
      <c r="S27" s="142" t="s">
        <v>52</v>
      </c>
      <c r="T27" s="142"/>
      <c r="U27" s="142" t="s">
        <v>53</v>
      </c>
      <c r="V27" s="142"/>
    </row>
    <row r="28" spans="1:22" ht="36" customHeight="1" x14ac:dyDescent="0.2">
      <c r="A28" s="38" t="str">
        <f>IF(ISBLANK(Distance Control_9),"",Control_9 Distance)</f>
        <v/>
      </c>
      <c r="B28" s="39" t="str">
        <f>Control_9 Open_time</f>
        <v/>
      </c>
      <c r="C28" s="39" t="str">
        <f>Control_9 Close_time</f>
        <v/>
      </c>
      <c r="D28" s="40" t="str">
        <f>IF(ISBLANK(Locale Control_9),"",Locale Control_9)</f>
        <v/>
      </c>
      <c r="E28" s="32" t="str">
        <f>IF(ISBLANK(Control_9 Establishment_2),"",Control_9 Establishment_2)</f>
        <v/>
      </c>
      <c r="F28" s="96" t="str">
        <f>IF(ISBLANK('Control Entry'!J23),"",'Control Entry'!J23)</f>
        <v/>
      </c>
      <c r="G28" s="97"/>
      <c r="H28" s="27" t="s">
        <v>29</v>
      </c>
    </row>
    <row r="29" spans="1:22" ht="36" customHeight="1" thickBot="1" x14ac:dyDescent="0.25">
      <c r="A29" s="33"/>
      <c r="B29" s="34" t="str">
        <f>Control_9 Open_time</f>
        <v/>
      </c>
      <c r="C29" s="34" t="str">
        <f>Control_9 Close_time</f>
        <v/>
      </c>
      <c r="D29" s="35"/>
      <c r="E29" s="36" t="str">
        <f>IF(ISBLANK(Control_9 Establishment_3),"",Control_9 Establishment_3)</f>
        <v/>
      </c>
      <c r="F29" s="101" t="str">
        <f>IF(ISBLANK('Control Entry'!K23),"",'Control Entry'!K23)</f>
        <v/>
      </c>
      <c r="G29" s="100"/>
      <c r="H29" s="27" t="s">
        <v>29</v>
      </c>
      <c r="M29" s="155" t="s">
        <v>42</v>
      </c>
      <c r="N29" s="155"/>
      <c r="O29" s="155"/>
      <c r="P29" s="155"/>
      <c r="Q29" s="155"/>
      <c r="R29" s="155"/>
      <c r="S29" s="155"/>
      <c r="T29" s="155"/>
      <c r="U29" s="54"/>
    </row>
    <row r="30" spans="1:22" ht="36" customHeight="1" x14ac:dyDescent="0.2">
      <c r="A30" s="29"/>
      <c r="B30" s="30" t="str">
        <f>Control_10 Open_time</f>
        <v/>
      </c>
      <c r="C30" s="30" t="str">
        <f>Control_10 Close_time</f>
        <v/>
      </c>
      <c r="D30" s="37"/>
      <c r="E30" s="32" t="str">
        <f>IF(ISBLANK(Control_10 Establishment_1),"",Control_10 Establishment_1)</f>
        <v/>
      </c>
      <c r="F30" s="96" t="str">
        <f>IF(ISBLANK('Control Entry'!I24),"",'Control Entry'!I24)</f>
        <v/>
      </c>
      <c r="G30" s="97"/>
      <c r="H30" s="27" t="s">
        <v>29</v>
      </c>
      <c r="M30" s="16"/>
      <c r="N30" s="20"/>
      <c r="O30" s="20"/>
      <c r="P30" s="21"/>
      <c r="Q30" s="103"/>
      <c r="R30" s="20"/>
      <c r="S30" s="20"/>
      <c r="T30" s="21"/>
      <c r="U30" s="22"/>
    </row>
    <row r="31" spans="1:22" ht="36" customHeight="1" x14ac:dyDescent="0.2">
      <c r="A31" s="38" t="str">
        <f>IF(ISBLANK(Distance Control_10),"",Control_10 Distance)</f>
        <v/>
      </c>
      <c r="B31" s="39" t="str">
        <f>Control_10 Open_time</f>
        <v/>
      </c>
      <c r="C31" s="39" t="str">
        <f>Control_10 Close_time</f>
        <v/>
      </c>
      <c r="D31" s="40" t="str">
        <f>IF(ISBLANK(Locale Control_10),"",Locale Control_10)</f>
        <v/>
      </c>
      <c r="E31" s="32" t="str">
        <f>IF(ISBLANK(Control_10 Establishment_2),"",Control_10 Establishment_2)</f>
        <v/>
      </c>
      <c r="F31" s="96" t="str">
        <f>IF(ISBLANK('Control Entry'!J24),"",'Control Entry'!J24)</f>
        <v/>
      </c>
      <c r="G31" s="97"/>
      <c r="H31" s="27" t="s">
        <v>29</v>
      </c>
      <c r="M31" s="17"/>
      <c r="N31" s="22"/>
      <c r="O31" s="22"/>
      <c r="P31" s="23"/>
      <c r="Q31" s="104"/>
      <c r="R31" s="22"/>
      <c r="S31" s="22"/>
      <c r="T31" s="23"/>
      <c r="U31" s="22"/>
    </row>
    <row r="32" spans="1:22" ht="36" customHeight="1" thickBot="1" x14ac:dyDescent="0.25">
      <c r="A32" s="33"/>
      <c r="B32" s="34" t="str">
        <f>Control_10 Open_time</f>
        <v/>
      </c>
      <c r="C32" s="34" t="str">
        <f>Control_10 Close_time</f>
        <v/>
      </c>
      <c r="D32" s="35"/>
      <c r="E32" s="36" t="str">
        <f>IF(ISBLANK(Control_10 Establishment_3),"",Control_10 Establishment_3)</f>
        <v/>
      </c>
      <c r="F32" s="101" t="str">
        <f>IF(ISBLANK('Control Entry'!K24),"",'Control Entry'!K24)</f>
        <v/>
      </c>
      <c r="G32" s="100"/>
      <c r="H32" s="27" t="s">
        <v>29</v>
      </c>
      <c r="M32" s="147" t="s">
        <v>82</v>
      </c>
      <c r="N32" s="148"/>
      <c r="O32" s="148"/>
      <c r="P32" s="149"/>
      <c r="Q32" s="150">
        <f>'Control Entry'!B3</f>
        <v>44874</v>
      </c>
      <c r="R32" s="151"/>
      <c r="S32" s="151"/>
      <c r="T32" s="152"/>
      <c r="U32" s="22"/>
    </row>
    <row r="33" spans="1:22" ht="36" customHeight="1" x14ac:dyDescent="0.2">
      <c r="A33" s="141" t="s">
        <v>43</v>
      </c>
      <c r="B33" s="141"/>
      <c r="C33" s="141"/>
      <c r="D33" s="141"/>
      <c r="E33" s="141"/>
      <c r="F33" s="141"/>
      <c r="G33" s="141"/>
      <c r="H33" s="41"/>
      <c r="I33" s="41"/>
      <c r="M33" s="156" t="s">
        <v>86</v>
      </c>
      <c r="N33" s="157"/>
      <c r="O33" s="157"/>
      <c r="P33" s="157"/>
      <c r="Q33" s="158">
        <f>'Control Entry'!B4</f>
        <v>45036</v>
      </c>
      <c r="R33" s="159"/>
      <c r="S33" s="159"/>
      <c r="T33" s="159"/>
      <c r="U33" s="93"/>
      <c r="V33" s="49"/>
    </row>
    <row r="34" spans="1:22" ht="36" customHeight="1" x14ac:dyDescent="0.2">
      <c r="A34"/>
      <c r="O34" s="47"/>
      <c r="P34" s="47"/>
      <c r="Q34" s="47"/>
      <c r="R34" s="46"/>
    </row>
    <row r="35" spans="1:22" ht="36" customHeight="1" x14ac:dyDescent="0.2">
      <c r="A35"/>
      <c r="N35" s="155"/>
      <c r="O35" s="155"/>
      <c r="P35" s="155"/>
      <c r="Q35" s="155"/>
      <c r="R35" s="155"/>
      <c r="S35" s="155"/>
      <c r="T35" s="155"/>
      <c r="U35" s="155"/>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iDQb38Z5WZp87lXMQAT4xTXeXKPICpVt+wSBVo/dofQxJAYMrgvpXFZDzKlfo5JR1/olCdCIytlMSqpHKz79Wg==" saltValue="3TGUHDVIfOEKM0XlLUm4zg==" spinCount="100000" sheet="1" objects="1" scenarios="1" formatCells="0" selectLockedCells="1"/>
  <mergeCells count="41">
    <mergeCell ref="U25:V25"/>
    <mergeCell ref="N35:U35"/>
    <mergeCell ref="M29:T29"/>
    <mergeCell ref="N27:O27"/>
    <mergeCell ref="P27:Q27"/>
    <mergeCell ref="S27:T27"/>
    <mergeCell ref="U27:V27"/>
    <mergeCell ref="M33:P33"/>
    <mergeCell ref="Q33:T33"/>
    <mergeCell ref="A1:G1"/>
    <mergeCell ref="A33:G33"/>
    <mergeCell ref="M4:T4"/>
    <mergeCell ref="P25:Q25"/>
    <mergeCell ref="S25:T25"/>
    <mergeCell ref="S12:U12"/>
    <mergeCell ref="R13:U13"/>
    <mergeCell ref="R5:U5"/>
    <mergeCell ref="K2:U2"/>
    <mergeCell ref="L8:Q8"/>
    <mergeCell ref="M32:P32"/>
    <mergeCell ref="Q32:T32"/>
    <mergeCell ref="T8:U8"/>
    <mergeCell ref="L20:N20"/>
    <mergeCell ref="L11:N11"/>
    <mergeCell ref="L12:N12"/>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 ref="L13:N13"/>
    <mergeCell ref="S11:U11"/>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topLeftCell="E1" zoomScale="92" zoomScaleNormal="92" zoomScalePageLayoutView="92" workbookViewId="0">
      <selection activeCell="L8" sqref="L8:Q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8" width="8.83203125" customWidth="1"/>
    <col min="19" max="19" width="9" customWidth="1"/>
  </cols>
  <sheetData>
    <row r="1" spans="1:22" ht="21" thickBot="1" x14ac:dyDescent="0.2">
      <c r="A1" s="140" t="s">
        <v>74</v>
      </c>
      <c r="B1" s="140"/>
      <c r="C1" s="140"/>
      <c r="D1" s="140"/>
      <c r="E1" s="140"/>
      <c r="F1" s="140"/>
      <c r="G1" s="140"/>
      <c r="H1" s="27" t="s">
        <v>29</v>
      </c>
    </row>
    <row r="2" spans="1:22" ht="33.75" customHeight="1" thickBot="1" x14ac:dyDescent="0.25">
      <c r="A2" s="74" t="s">
        <v>30</v>
      </c>
      <c r="B2" s="9" t="s">
        <v>3</v>
      </c>
      <c r="C2" s="9" t="s">
        <v>4</v>
      </c>
      <c r="D2" s="9" t="s">
        <v>25</v>
      </c>
      <c r="E2" s="9" t="s">
        <v>31</v>
      </c>
      <c r="F2" s="9" t="s">
        <v>59</v>
      </c>
      <c r="G2" s="74" t="s">
        <v>32</v>
      </c>
      <c r="H2" s="27" t="s">
        <v>29</v>
      </c>
      <c r="K2" s="145" t="s">
        <v>55</v>
      </c>
      <c r="L2" s="145"/>
      <c r="M2" s="145"/>
      <c r="N2" s="145"/>
      <c r="O2" s="145"/>
      <c r="P2" s="145"/>
      <c r="Q2" s="145"/>
      <c r="R2" s="145"/>
      <c r="S2" s="145"/>
      <c r="T2" s="145"/>
      <c r="U2" s="145"/>
    </row>
    <row r="3" spans="1:22" ht="36" customHeight="1" x14ac:dyDescent="0.45">
      <c r="A3" s="29"/>
      <c r="B3" s="30" t="str">
        <f>'Control Entry'!N28</f>
        <v/>
      </c>
      <c r="C3" s="30" t="str">
        <f>'Control Entry'!O28</f>
        <v/>
      </c>
      <c r="D3" s="31"/>
      <c r="E3" s="32" t="str">
        <f>IF(ISBLANK('Control Entry'!F28),"",'Control Entry'!F28)</f>
        <v/>
      </c>
      <c r="F3" s="96" t="str">
        <f>IF(ISBLANK('Control Entry'!I28),"",'Control Entry'!I28)</f>
        <v/>
      </c>
      <c r="G3" s="97"/>
      <c r="H3" s="27" t="s">
        <v>29</v>
      </c>
      <c r="K3" s="14"/>
      <c r="O3" s="129" t="s">
        <v>73</v>
      </c>
      <c r="P3" s="129"/>
      <c r="Q3" s="129"/>
      <c r="R3" s="129"/>
      <c r="S3" s="85" t="str">
        <f>IF('Control Entry'!D28=0,"","#2")</f>
        <v/>
      </c>
      <c r="U3" s="42"/>
    </row>
    <row r="4" spans="1:22" ht="36" customHeight="1" x14ac:dyDescent="0.2">
      <c r="A4" s="38" t="str">
        <f>IF(ISBLANK('Control Entry'!D28),"",'Control Entry'!D28)</f>
        <v/>
      </c>
      <c r="B4" s="39" t="str">
        <f>'Control Entry'!N28</f>
        <v/>
      </c>
      <c r="C4" s="39" t="str">
        <f>'Control Entry'!O28</f>
        <v/>
      </c>
      <c r="D4" s="40" t="str">
        <f>IF(ISBLANK('Control Entry'!E28),"",'Control Entry'!E28)</f>
        <v/>
      </c>
      <c r="E4" s="32" t="str">
        <f>IF(ISBLANK('Control Entry'!G28),"",'Control Entry'!G28)</f>
        <v/>
      </c>
      <c r="F4" s="96" t="str">
        <f>IF(ISBLANK('Control Entry'!J28),"",'Control Entry'!J28)</f>
        <v/>
      </c>
      <c r="G4" s="97"/>
      <c r="H4" s="27" t="s">
        <v>29</v>
      </c>
      <c r="K4" s="14"/>
      <c r="M4" s="126" t="str">
        <f>IF(ISBLANK(brevet),"",brevet&amp;" km Randonnée")</f>
        <v>300 km Randonnée</v>
      </c>
      <c r="N4" s="126"/>
      <c r="O4" s="126"/>
      <c r="P4" s="126"/>
      <c r="Q4" s="126"/>
      <c r="R4" s="126"/>
      <c r="S4" s="126"/>
      <c r="T4" s="126"/>
      <c r="U4" s="43"/>
    </row>
    <row r="5" spans="1:22" ht="36" customHeight="1" thickBot="1" x14ac:dyDescent="0.25">
      <c r="A5" s="33"/>
      <c r="B5" s="34" t="str">
        <f>'Control Entry'!N28</f>
        <v/>
      </c>
      <c r="C5" s="34" t="str">
        <f>'Control Entry'!O28</f>
        <v/>
      </c>
      <c r="D5" s="35"/>
      <c r="E5" s="36" t="str">
        <f>IF(ISBLANK('Control Entry'!H28),"",'Control Entry'!H28)</f>
        <v/>
      </c>
      <c r="F5" s="101" t="str">
        <f>IF(ISBLANK('Control Entry'!K28),"",'Control Entry'!K28)</f>
        <v/>
      </c>
      <c r="G5" s="100"/>
      <c r="H5" s="27" t="s">
        <v>29</v>
      </c>
      <c r="K5" s="14"/>
      <c r="M5" s="15"/>
      <c r="N5" s="125" t="s">
        <v>47</v>
      </c>
      <c r="O5" s="125"/>
      <c r="P5" s="61">
        <f>IF(ISBLANK(Brevet_Number),"",Brevet_Number)</f>
        <v>5241</v>
      </c>
      <c r="Q5" s="62"/>
      <c r="R5" s="144">
        <f>IF(ISBLANK('Control Entry'!$B10),"",'Control Entry'!$B10)</f>
        <v>45038</v>
      </c>
      <c r="S5" s="144"/>
      <c r="T5" s="144"/>
      <c r="U5" s="144"/>
      <c r="V5" s="44"/>
    </row>
    <row r="6" spans="1:22" ht="36" customHeight="1" x14ac:dyDescent="0.2">
      <c r="A6" s="29"/>
      <c r="B6" s="30" t="str">
        <f>'Control Entry'!N29</f>
        <v/>
      </c>
      <c r="C6" s="30" t="str">
        <f>'Control Entry'!O29</f>
        <v/>
      </c>
      <c r="D6" s="37"/>
      <c r="E6" s="32" t="str">
        <f>IF(ISBLANK('Control Entry'!F29),"",'Control Entry'!F29)</f>
        <v/>
      </c>
      <c r="F6" s="96" t="str">
        <f>IF(ISBLANK('Control Entry'!I29),"",'Control Entry'!I29)</f>
        <v/>
      </c>
      <c r="G6" s="97"/>
      <c r="H6" s="27" t="s">
        <v>29</v>
      </c>
      <c r="K6" s="14"/>
      <c r="L6" s="132" t="str">
        <f>IF(ISBLANK(Brevet_Description),"",Brevet_Description)</f>
        <v>Ryder Hatzic Hills 2023</v>
      </c>
      <c r="M6" s="132"/>
      <c r="N6" s="132"/>
      <c r="O6" s="132"/>
      <c r="P6" s="132"/>
      <c r="Q6" s="132"/>
      <c r="R6" s="132"/>
      <c r="S6" s="132"/>
      <c r="T6" s="132"/>
      <c r="U6" s="132"/>
    </row>
    <row r="7" spans="1:22" ht="36" customHeight="1" x14ac:dyDescent="0.2">
      <c r="A7" s="38" t="str">
        <f>IF(ISBLANK('Control Entry'!D29),"",'Control Entry'!D29)</f>
        <v/>
      </c>
      <c r="B7" s="39" t="str">
        <f>'Control Entry'!N29</f>
        <v/>
      </c>
      <c r="C7" s="39" t="str">
        <f>'Control Entry'!O29</f>
        <v/>
      </c>
      <c r="D7" s="40" t="str">
        <f>IF(ISBLANK('Control Entry'!E29),"",'Control Entry'!E29)</f>
        <v/>
      </c>
      <c r="E7" s="32" t="str">
        <f>IF(ISBLANK('Control Entry'!G29),"",'Control Entry'!G29)</f>
        <v/>
      </c>
      <c r="F7" s="96" t="str">
        <f>IF(ISBLANK('Control Entry'!J29),"",'Control Entry'!J29)</f>
        <v/>
      </c>
      <c r="G7" s="97"/>
      <c r="H7" s="27" t="s">
        <v>29</v>
      </c>
    </row>
    <row r="8" spans="1:22" ht="36" customHeight="1" thickBot="1" x14ac:dyDescent="0.25">
      <c r="A8" s="33"/>
      <c r="B8" s="34" t="str">
        <f>'Control Entry'!N29</f>
        <v/>
      </c>
      <c r="C8" s="34" t="str">
        <f>'Control Entry'!O29</f>
        <v/>
      </c>
      <c r="D8" s="35"/>
      <c r="E8" s="36" t="str">
        <f>IF(ISBLANK('Control Entry'!H29),"",'Control Entry'!H29)</f>
        <v/>
      </c>
      <c r="F8" s="101" t="str">
        <f>IF(ISBLANK('Control Entry'!K29),"",'Control Entry'!K29)</f>
        <v/>
      </c>
      <c r="G8" s="100"/>
      <c r="H8" s="27" t="s">
        <v>29</v>
      </c>
      <c r="J8" s="15" t="s">
        <v>34</v>
      </c>
      <c r="L8" s="146"/>
      <c r="M8" s="146"/>
      <c r="N8" s="146"/>
      <c r="O8" s="146"/>
      <c r="P8" s="146"/>
      <c r="Q8" s="146"/>
      <c r="R8" s="28"/>
      <c r="S8" s="45" t="s">
        <v>46</v>
      </c>
      <c r="T8" s="153"/>
      <c r="U8" s="153"/>
    </row>
    <row r="9" spans="1:22" ht="36" customHeight="1" thickBot="1" x14ac:dyDescent="0.3">
      <c r="A9" s="29"/>
      <c r="B9" s="30" t="str">
        <f>'Control Entry'!N30</f>
        <v/>
      </c>
      <c r="C9" s="30" t="str">
        <f>'Control Entry'!O30</f>
        <v/>
      </c>
      <c r="D9" s="37"/>
      <c r="E9" s="32" t="str">
        <f>IF(ISBLANK('Control Entry'!F30),"",'Control Entry'!F30)</f>
        <v/>
      </c>
      <c r="F9" s="96" t="str">
        <f>IF(ISBLANK('Control Entry'!I30),"",'Control Entry'!I30)</f>
        <v/>
      </c>
      <c r="G9" s="97"/>
      <c r="H9" s="27" t="s">
        <v>29</v>
      </c>
      <c r="J9" s="15" t="s">
        <v>35</v>
      </c>
      <c r="K9" s="15"/>
      <c r="L9" s="134" t="s">
        <v>54</v>
      </c>
      <c r="M9" s="134"/>
      <c r="N9" s="134"/>
      <c r="O9" s="134"/>
      <c r="P9" s="134"/>
      <c r="Q9" s="134"/>
      <c r="R9" s="134"/>
      <c r="S9" s="134"/>
      <c r="T9" s="134"/>
      <c r="U9" s="134"/>
    </row>
    <row r="10" spans="1:22" ht="36" customHeight="1" thickBot="1" x14ac:dyDescent="0.3">
      <c r="A10" s="38" t="str">
        <f>IF(ISBLANK('Control Entry'!D30),"",'Control Entry'!D30)</f>
        <v/>
      </c>
      <c r="B10" s="39" t="str">
        <f>'Control Entry'!N30</f>
        <v/>
      </c>
      <c r="C10" s="39" t="str">
        <f>'Control Entry'!O30</f>
        <v/>
      </c>
      <c r="D10" s="40" t="str">
        <f>IF(ISBLANK('Control Entry'!E30),"",'Control Entry'!E30)</f>
        <v/>
      </c>
      <c r="E10" s="32" t="str">
        <f>IF(ISBLANK('Control Entry'!G30),"",'Control Entry'!G30)</f>
        <v/>
      </c>
      <c r="F10" s="96" t="str">
        <f>IF(ISBLANK('Control Entry'!J30),"",'Control Entry'!J30)</f>
        <v/>
      </c>
      <c r="G10" s="97"/>
      <c r="H10" s="27" t="s">
        <v>29</v>
      </c>
      <c r="J10" s="15"/>
      <c r="K10" s="15"/>
      <c r="L10" s="135"/>
      <c r="M10" s="135"/>
      <c r="N10" s="135"/>
      <c r="O10" s="135"/>
      <c r="P10" s="135"/>
      <c r="Q10" s="135"/>
      <c r="R10" s="135"/>
      <c r="S10" s="135"/>
      <c r="T10" s="135"/>
      <c r="U10" s="135"/>
    </row>
    <row r="11" spans="1:22" ht="36" customHeight="1" thickBot="1" x14ac:dyDescent="0.3">
      <c r="A11" s="33"/>
      <c r="B11" s="34" t="str">
        <f>'Control Entry'!N30</f>
        <v/>
      </c>
      <c r="C11" s="34" t="str">
        <f>'Control Entry'!O30</f>
        <v/>
      </c>
      <c r="D11" s="35"/>
      <c r="E11" s="36" t="str">
        <f>IF(ISBLANK('Control Entry'!H30),"",'Control Entry'!H30)</f>
        <v/>
      </c>
      <c r="F11" s="101" t="str">
        <f>IF(ISBLANK('Control Entry'!K30),"",'Control Entry'!K30)</f>
        <v/>
      </c>
      <c r="G11" s="100"/>
      <c r="H11" s="27" t="s">
        <v>29</v>
      </c>
      <c r="J11" s="15" t="s">
        <v>36</v>
      </c>
      <c r="K11" s="15"/>
      <c r="L11" s="135"/>
      <c r="M11" s="135"/>
      <c r="N11" s="135"/>
      <c r="O11" s="18"/>
      <c r="P11" s="18" t="s">
        <v>37</v>
      </c>
      <c r="Q11" s="18"/>
      <c r="R11" s="18"/>
      <c r="S11" s="139"/>
      <c r="T11" s="139"/>
      <c r="U11" s="139"/>
    </row>
    <row r="12" spans="1:22" ht="36" customHeight="1" thickBot="1" x14ac:dyDescent="0.3">
      <c r="A12" s="29"/>
      <c r="B12" s="30" t="str">
        <f>'Control Entry'!N31</f>
        <v/>
      </c>
      <c r="C12" s="30" t="str">
        <f>'Control Entry'!O31</f>
        <v/>
      </c>
      <c r="D12" s="37"/>
      <c r="E12" s="32" t="str">
        <f>IF(ISBLANK('Control Entry'!F31),"",'Control Entry'!F31)</f>
        <v/>
      </c>
      <c r="F12" s="96" t="str">
        <f>IF(ISBLANK('Control Entry'!I31),"",'Control Entry'!I31)</f>
        <v/>
      </c>
      <c r="G12" s="97"/>
      <c r="H12" s="27" t="s">
        <v>29</v>
      </c>
      <c r="J12" s="15" t="s">
        <v>38</v>
      </c>
      <c r="K12" s="15"/>
      <c r="L12" s="135"/>
      <c r="M12" s="135"/>
      <c r="N12" s="135"/>
      <c r="O12" s="18"/>
      <c r="P12" s="18" t="s">
        <v>39</v>
      </c>
      <c r="Q12" s="18"/>
      <c r="R12" s="18"/>
      <c r="S12" s="139"/>
      <c r="T12" s="139"/>
      <c r="U12" s="139"/>
    </row>
    <row r="13" spans="1:22" ht="36" customHeight="1" thickBot="1" x14ac:dyDescent="0.3">
      <c r="A13" s="38" t="str">
        <f>IF(ISBLANK('Control Entry'!D31),"",'Control Entry'!D31)</f>
        <v/>
      </c>
      <c r="B13" s="39" t="str">
        <f>'Control Entry'!N31</f>
        <v/>
      </c>
      <c r="C13" s="39" t="str">
        <f>'Control Entry'!O31</f>
        <v/>
      </c>
      <c r="D13" s="40" t="str">
        <f>IF(ISBLANK('Control Entry'!E31),"",'Control Entry'!E31)</f>
        <v/>
      </c>
      <c r="E13" s="32" t="str">
        <f>IF(ISBLANK('Control Entry'!G31),"",'Control Entry'!G31)</f>
        <v/>
      </c>
      <c r="F13" s="96" t="str">
        <f>IF(ISBLANK('Control Entry'!J31),"",'Control Entry'!J31)</f>
        <v/>
      </c>
      <c r="G13" s="97"/>
      <c r="H13" s="27" t="s">
        <v>29</v>
      </c>
      <c r="J13" s="15" t="s">
        <v>40</v>
      </c>
      <c r="L13" s="138"/>
      <c r="M13" s="138"/>
      <c r="N13" s="138"/>
      <c r="O13" s="19"/>
      <c r="P13" s="18" t="s">
        <v>41</v>
      </c>
      <c r="Q13" s="18"/>
      <c r="R13" s="143"/>
      <c r="S13" s="143"/>
      <c r="T13" s="143"/>
      <c r="U13" s="143"/>
    </row>
    <row r="14" spans="1:22" ht="36" customHeight="1" thickBot="1" x14ac:dyDescent="0.25">
      <c r="A14" s="33"/>
      <c r="B14" s="34" t="str">
        <f>'Control Entry'!N31</f>
        <v/>
      </c>
      <c r="C14" s="34" t="str">
        <f>'Control Entry'!O31</f>
        <v/>
      </c>
      <c r="D14" s="35"/>
      <c r="E14" s="36" t="str">
        <f>IF(ISBLANK('Control Entry'!H31),"",'Control Entry'!H31)</f>
        <v/>
      </c>
      <c r="F14" s="101" t="str">
        <f>IF(ISBLANK('Control Entry'!K31),"",'Control Entry'!K31)</f>
        <v/>
      </c>
      <c r="G14" s="100"/>
      <c r="H14" s="27" t="s">
        <v>29</v>
      </c>
    </row>
    <row r="15" spans="1:22" ht="36" customHeight="1" x14ac:dyDescent="0.2">
      <c r="A15" s="29"/>
      <c r="B15" s="30" t="str">
        <f>'Control Entry'!N32</f>
        <v/>
      </c>
      <c r="C15" s="30" t="str">
        <f>'Control Entry'!O32</f>
        <v/>
      </c>
      <c r="D15" s="37"/>
      <c r="E15" s="32" t="str">
        <f>IF(ISBLANK('Control Entry'!F32),"",'Control Entry'!F32)</f>
        <v/>
      </c>
      <c r="F15" s="96" t="str">
        <f>IF(ISBLANK('Control Entry'!I32),"",'Control Entry'!I32)</f>
        <v/>
      </c>
      <c r="G15" s="97"/>
      <c r="H15" s="27" t="s">
        <v>29</v>
      </c>
      <c r="J15" s="15"/>
      <c r="L15" s="131" t="s">
        <v>58</v>
      </c>
      <c r="M15" s="131"/>
      <c r="N15" s="131"/>
      <c r="O15" s="131"/>
      <c r="P15" s="131"/>
      <c r="Q15" s="131"/>
      <c r="R15" s="131"/>
      <c r="S15" s="131"/>
      <c r="T15" s="131"/>
      <c r="U15" s="131"/>
    </row>
    <row r="16" spans="1:22" ht="36" customHeight="1" thickBot="1" x14ac:dyDescent="0.25">
      <c r="A16" s="38" t="str">
        <f>IF(ISBLANK('Control Entry'!D32),"",'Control Entry'!D32)</f>
        <v/>
      </c>
      <c r="B16" s="39" t="str">
        <f>'Control Entry'!N32</f>
        <v/>
      </c>
      <c r="C16" s="39" t="str">
        <f>'Control Entry'!O32</f>
        <v/>
      </c>
      <c r="D16" s="40" t="str">
        <f>IF(ISBLANK('Control Entry'!E32),"",'Control Entry'!E32)</f>
        <v/>
      </c>
      <c r="E16" s="32" t="str">
        <f>IF(ISBLANK('Control Entry'!G32),"",'Control Entry'!G32)</f>
        <v/>
      </c>
      <c r="F16" s="96" t="str">
        <f>IF(ISBLANK('Control Entry'!J32),"",'Control Entry'!J32)</f>
        <v/>
      </c>
      <c r="G16" s="97"/>
      <c r="H16" s="27" t="s">
        <v>29</v>
      </c>
      <c r="L16" s="136"/>
      <c r="M16" s="136"/>
      <c r="N16" s="136"/>
      <c r="O16" s="136"/>
      <c r="P16" s="136"/>
      <c r="Q16" s="136"/>
      <c r="R16" s="136"/>
      <c r="S16" s="136"/>
      <c r="T16" s="136"/>
      <c r="U16" s="136"/>
    </row>
    <row r="17" spans="1:22" ht="36" customHeight="1" thickBot="1" x14ac:dyDescent="0.25">
      <c r="A17" s="33"/>
      <c r="B17" s="34" t="str">
        <f>'Control Entry'!N32</f>
        <v/>
      </c>
      <c r="C17" s="34" t="str">
        <f>'Control Entry'!O32</f>
        <v/>
      </c>
      <c r="D17" s="35"/>
      <c r="E17" s="36" t="str">
        <f>IF(ISBLANK('Control Entry'!H32),"",'Control Entry'!H32)</f>
        <v/>
      </c>
      <c r="F17" s="101" t="str">
        <f>IF(ISBLANK('Control Entry'!K32),"",'Control Entry'!K32)</f>
        <v/>
      </c>
      <c r="G17" s="100"/>
      <c r="H17" s="27" t="s">
        <v>29</v>
      </c>
    </row>
    <row r="18" spans="1:22" ht="36" customHeight="1" x14ac:dyDescent="0.2">
      <c r="A18" s="29"/>
      <c r="B18" s="30" t="str">
        <f>'Control Entry'!N33</f>
        <v/>
      </c>
      <c r="C18" s="30" t="str">
        <f>'Control Entry'!O33</f>
        <v/>
      </c>
      <c r="D18" s="37"/>
      <c r="E18" s="32" t="str">
        <f>IF(ISBLANK('Control Entry'!F33),"",'Control Entry'!F33)</f>
        <v/>
      </c>
      <c r="F18" s="96" t="str">
        <f>IF(ISBLANK('Control Entry'!I33),"",'Control Entry'!I33)</f>
        <v/>
      </c>
      <c r="G18" s="97"/>
      <c r="H18" s="27" t="s">
        <v>29</v>
      </c>
    </row>
    <row r="19" spans="1:22" ht="36" customHeight="1" x14ac:dyDescent="0.2">
      <c r="A19" s="38" t="str">
        <f>IF(ISBLANK('Control Entry'!D33),"",'Control Entry'!D33)</f>
        <v/>
      </c>
      <c r="B19" s="39" t="str">
        <f>'Control Entry'!N33</f>
        <v/>
      </c>
      <c r="C19" s="39" t="str">
        <f>'Control Entry'!O33</f>
        <v/>
      </c>
      <c r="D19" s="40" t="str">
        <f>IF(ISBLANK('Control Entry'!E33),"",'Control Entry'!E33)</f>
        <v/>
      </c>
      <c r="E19" s="32" t="str">
        <f>IF(ISBLANK('Control Entry'!G33),"",'Control Entry'!G33)</f>
        <v/>
      </c>
      <c r="F19" s="96" t="str">
        <f>IF(ISBLANK('Control Entry'!J33),"",'Control Entry'!J33)</f>
        <v/>
      </c>
      <c r="G19" s="97"/>
      <c r="H19" s="27" t="s">
        <v>29</v>
      </c>
    </row>
    <row r="20" spans="1:22" ht="36" customHeight="1" thickBot="1" x14ac:dyDescent="0.25">
      <c r="A20" s="33"/>
      <c r="B20" s="34" t="str">
        <f>'Control Entry'!N33</f>
        <v/>
      </c>
      <c r="C20" s="34" t="str">
        <f>'Control Entry'!O33</f>
        <v/>
      </c>
      <c r="D20" s="35"/>
      <c r="E20" s="36" t="str">
        <f>IF(ISBLANK('Control Entry'!H33),"",'Control Entry'!H33)</f>
        <v/>
      </c>
      <c r="F20" s="101" t="str">
        <f>IF(ISBLANK('Control Entry'!K33),"",'Control Entry'!K33)</f>
        <v/>
      </c>
      <c r="G20" s="100"/>
      <c r="H20" s="27" t="s">
        <v>29</v>
      </c>
      <c r="J20" s="59" t="s">
        <v>44</v>
      </c>
      <c r="K20" s="59"/>
      <c r="L20" s="161">
        <f>IF(ISBLANK('Control Entry'!B12),"",'Control Entry'!B12)</f>
        <v>45038</v>
      </c>
      <c r="M20" s="161"/>
      <c r="N20" s="161"/>
      <c r="P20" s="18" t="s">
        <v>0</v>
      </c>
      <c r="Q20" s="18"/>
      <c r="S20" s="130">
        <f>IF(ISBLANK('Control Entry'!B13),"",'Control Entry'!B13)</f>
        <v>0.25</v>
      </c>
      <c r="T20" s="130"/>
      <c r="U20" s="130"/>
    </row>
    <row r="21" spans="1:22" ht="36" customHeight="1" x14ac:dyDescent="0.2">
      <c r="A21" s="29"/>
      <c r="B21" s="30" t="str">
        <f>'Control Entry'!N34</f>
        <v/>
      </c>
      <c r="C21" s="30" t="str">
        <f>'Control Entry'!O34</f>
        <v/>
      </c>
      <c r="D21" s="37"/>
      <c r="E21" s="32" t="str">
        <f>IF(ISBLANK('Control Entry'!F34),"",'Control Entry'!F34)</f>
        <v/>
      </c>
      <c r="F21" s="96" t="str">
        <f>IF(ISBLANK('Control Entry'!I34),"",'Control Entry'!I34)</f>
        <v/>
      </c>
      <c r="G21" s="97"/>
      <c r="H21" s="27" t="s">
        <v>29</v>
      </c>
      <c r="J21" s="160" t="s">
        <v>90</v>
      </c>
      <c r="K21" s="160"/>
      <c r="L21" s="160"/>
      <c r="M21" s="160"/>
      <c r="N21" s="160"/>
      <c r="O21" s="160"/>
      <c r="P21" s="160"/>
      <c r="Q21" s="160"/>
      <c r="R21" s="160"/>
      <c r="S21" s="160"/>
      <c r="T21" s="160"/>
      <c r="U21" s="160"/>
      <c r="V21" s="28"/>
    </row>
    <row r="22" spans="1:22" ht="36" customHeight="1" thickBot="1" x14ac:dyDescent="0.25">
      <c r="A22" s="38" t="str">
        <f>IF(ISBLANK('Control Entry'!D34),"",'Control Entry'!D34)</f>
        <v/>
      </c>
      <c r="B22" s="39" t="str">
        <f>'Control Entry'!N34</f>
        <v/>
      </c>
      <c r="C22" s="39" t="str">
        <f>'Control Entry'!O34</f>
        <v/>
      </c>
      <c r="D22" s="40" t="str">
        <f>IF(ISBLANK('Control Entry'!E34),"",'Control Entry'!E34)</f>
        <v/>
      </c>
      <c r="E22" s="32" t="str">
        <f>IF(ISBLANK('Control Entry'!G34),"",'Control Entry'!G34)</f>
        <v/>
      </c>
      <c r="F22" s="96" t="str">
        <f>IF(ISBLANK('Control Entry'!J34),"",'Control Entry'!J34)</f>
        <v/>
      </c>
      <c r="G22" s="97"/>
      <c r="H22" s="27" t="s">
        <v>29</v>
      </c>
      <c r="J22" s="81" t="s">
        <v>45</v>
      </c>
      <c r="K22" s="81"/>
      <c r="L22" s="137"/>
      <c r="M22" s="137"/>
      <c r="N22" s="137"/>
      <c r="O22" s="19"/>
      <c r="P22" s="18" t="s">
        <v>1</v>
      </c>
      <c r="Q22" s="18"/>
      <c r="R22" s="19"/>
      <c r="S22" s="133"/>
      <c r="T22" s="133"/>
      <c r="U22" s="133"/>
    </row>
    <row r="23" spans="1:22" ht="36" customHeight="1" thickBot="1" x14ac:dyDescent="0.25">
      <c r="A23" s="33"/>
      <c r="B23" s="34" t="str">
        <f>'Control Entry'!N34</f>
        <v/>
      </c>
      <c r="C23" s="34" t="str">
        <f>'Control Entry'!O34</f>
        <v/>
      </c>
      <c r="D23" s="35"/>
      <c r="E23" s="36" t="str">
        <f>IF(ISBLANK('Control Entry'!H34),"",'Control Entry'!H34)</f>
        <v/>
      </c>
      <c r="F23" s="101" t="str">
        <f>IF(ISBLANK('Control Entry'!K34),"",'Control Entry'!K34)</f>
        <v/>
      </c>
      <c r="G23" s="100"/>
      <c r="H23" s="27" t="s">
        <v>29</v>
      </c>
      <c r="J23" s="81"/>
      <c r="K23" s="81"/>
      <c r="L23" s="57"/>
      <c r="M23" s="57"/>
      <c r="N23" s="57"/>
      <c r="O23" s="22"/>
      <c r="P23" s="56"/>
      <c r="Q23" s="56"/>
      <c r="R23" s="22"/>
      <c r="S23" s="22"/>
      <c r="T23" s="22"/>
      <c r="U23" s="22"/>
      <c r="V23" s="28"/>
    </row>
    <row r="24" spans="1:22" ht="36" customHeight="1" thickBot="1" x14ac:dyDescent="0.25">
      <c r="A24" s="29"/>
      <c r="B24" s="30" t="str">
        <f>'Control Entry'!N35</f>
        <v/>
      </c>
      <c r="C24" s="30" t="str">
        <f>'Control Entry'!O35</f>
        <v/>
      </c>
      <c r="D24" s="37"/>
      <c r="E24" s="32" t="str">
        <f>IF(ISBLANK('Control Entry'!F35),"",'Control Entry'!F35)</f>
        <v/>
      </c>
      <c r="F24" s="96" t="str">
        <f>IF(ISBLANK('Control Entry'!I35),"",'Control Entry'!I35)</f>
        <v/>
      </c>
      <c r="G24" s="97"/>
      <c r="H24" s="27" t="s">
        <v>29</v>
      </c>
      <c r="J24" s="133"/>
      <c r="K24" s="133"/>
      <c r="L24" s="133"/>
      <c r="M24" s="133"/>
      <c r="N24" s="133"/>
      <c r="O24" s="19"/>
      <c r="P24" s="18" t="s">
        <v>2</v>
      </c>
      <c r="Q24" s="18"/>
      <c r="R24" s="19"/>
      <c r="S24" s="133"/>
      <c r="T24" s="133"/>
      <c r="U24" s="133"/>
    </row>
    <row r="25" spans="1:22" ht="36" customHeight="1" x14ac:dyDescent="0.2">
      <c r="A25" s="38" t="str">
        <f>IF(ISBLANK('Control Entry'!D35),"",'Control Entry'!D35)</f>
        <v/>
      </c>
      <c r="B25" s="39" t="str">
        <f>'Control Entry'!N35</f>
        <v/>
      </c>
      <c r="C25" s="39" t="str">
        <f>'Control Entry'!O35</f>
        <v/>
      </c>
      <c r="D25" s="40" t="str">
        <f>IF(ISBLANK('Control Entry'!E35),"",'Control Entry'!E35)</f>
        <v/>
      </c>
      <c r="E25" s="32" t="str">
        <f>IF(ISBLANK('Control Entry'!G35),"",'Control Entry'!G35)</f>
        <v/>
      </c>
      <c r="F25" s="96" t="str">
        <f>IF(ISBLANK('Control Entry'!J35),"",'Control Entry'!J35)</f>
        <v/>
      </c>
      <c r="G25" s="97"/>
      <c r="H25" s="27" t="s">
        <v>29</v>
      </c>
      <c r="J25" s="128" t="s">
        <v>17</v>
      </c>
      <c r="K25" s="128"/>
      <c r="L25" s="128"/>
      <c r="M25" s="128"/>
      <c r="N25" s="128"/>
      <c r="O25" s="51"/>
      <c r="P25" s="127"/>
      <c r="Q25" s="127"/>
      <c r="R25" s="51"/>
      <c r="S25" s="142"/>
      <c r="T25" s="142"/>
      <c r="U25" s="142"/>
      <c r="V25" s="142"/>
    </row>
    <row r="26" spans="1:22" ht="36" customHeight="1" thickBot="1" x14ac:dyDescent="0.25">
      <c r="A26" s="33"/>
      <c r="B26" s="34" t="str">
        <f>'Control Entry'!N35</f>
        <v/>
      </c>
      <c r="C26" s="34" t="str">
        <f>'Control Entry'!O35</f>
        <v/>
      </c>
      <c r="D26" s="35"/>
      <c r="E26" s="36" t="str">
        <f>IF(ISBLANK('Control Entry'!H35),"",'Control Entry'!H35)</f>
        <v/>
      </c>
      <c r="F26" s="101" t="str">
        <f>IF(ISBLANK('Control Entry'!K35),"",'Control Entry'!K35)</f>
        <v/>
      </c>
      <c r="G26" s="100"/>
      <c r="H26" s="27" t="s">
        <v>29</v>
      </c>
    </row>
    <row r="27" spans="1:22" ht="36" customHeight="1" x14ac:dyDescent="0.2">
      <c r="A27" s="29"/>
      <c r="B27" s="30" t="str">
        <f>'Control Entry'!N36</f>
        <v/>
      </c>
      <c r="C27" s="30" t="str">
        <f>'Control Entry'!O36</f>
        <v/>
      </c>
      <c r="D27" s="37"/>
      <c r="E27" s="32" t="str">
        <f>IF(ISBLANK('Control Entry'!F36),"",'Control Entry'!F36)</f>
        <v/>
      </c>
      <c r="F27" s="96" t="str">
        <f>IF(ISBLANK('Control Entry'!I36),"",'Control Entry'!I36)</f>
        <v/>
      </c>
      <c r="G27" s="97"/>
      <c r="H27" s="27" t="s">
        <v>29</v>
      </c>
      <c r="K27" s="126" t="s">
        <v>56</v>
      </c>
      <c r="L27" s="127"/>
      <c r="M27" s="50" t="s">
        <v>57</v>
      </c>
      <c r="N27" s="127" t="s">
        <v>49</v>
      </c>
      <c r="O27" s="127"/>
      <c r="P27" s="127" t="s">
        <v>50</v>
      </c>
      <c r="Q27" s="127"/>
      <c r="R27" s="51" t="s">
        <v>51</v>
      </c>
      <c r="S27" s="142" t="s">
        <v>52</v>
      </c>
      <c r="T27" s="142"/>
      <c r="U27" s="142" t="s">
        <v>53</v>
      </c>
      <c r="V27" s="142"/>
    </row>
    <row r="28" spans="1:22" ht="36" customHeight="1" x14ac:dyDescent="0.2">
      <c r="A28" s="38" t="str">
        <f>IF(ISBLANK('Control Entry'!D36),"",'Control Entry'!D36)</f>
        <v/>
      </c>
      <c r="B28" s="39" t="str">
        <f>'Control Entry'!N36</f>
        <v/>
      </c>
      <c r="C28" s="39" t="str">
        <f>'Control Entry'!O36</f>
        <v/>
      </c>
      <c r="D28" s="40" t="str">
        <f>IF(ISBLANK('Control Entry'!E36),"",'Control Entry'!E36)</f>
        <v/>
      </c>
      <c r="E28" s="32" t="str">
        <f>IF(ISBLANK('Control Entry'!G36),"",'Control Entry'!G36)</f>
        <v/>
      </c>
      <c r="F28" s="96" t="str">
        <f>IF(ISBLANK('Control Entry'!J36),"",'Control Entry'!J36)</f>
        <v/>
      </c>
      <c r="G28" s="97"/>
      <c r="H28" s="27" t="s">
        <v>29</v>
      </c>
    </row>
    <row r="29" spans="1:22" ht="36" customHeight="1" thickBot="1" x14ac:dyDescent="0.25">
      <c r="A29" s="33"/>
      <c r="B29" s="34" t="str">
        <f>'Control Entry'!N36</f>
        <v/>
      </c>
      <c r="C29" s="34" t="str">
        <f>'Control Entry'!O36</f>
        <v/>
      </c>
      <c r="D29" s="35"/>
      <c r="E29" s="36" t="str">
        <f>IF(ISBLANK('Control Entry'!H36),"",'Control Entry'!H36)</f>
        <v/>
      </c>
      <c r="F29" s="101" t="str">
        <f>IF(ISBLANK('Control Entry'!K36),"",'Control Entry'!K36)</f>
        <v/>
      </c>
      <c r="G29" s="100"/>
      <c r="H29" s="27" t="s">
        <v>29</v>
      </c>
      <c r="M29" s="155" t="s">
        <v>42</v>
      </c>
      <c r="N29" s="155"/>
      <c r="O29" s="155"/>
      <c r="P29" s="155"/>
      <c r="Q29" s="155"/>
      <c r="R29" s="155"/>
      <c r="S29" s="155"/>
      <c r="T29" s="155"/>
      <c r="U29" s="54"/>
    </row>
    <row r="30" spans="1:22" ht="36" customHeight="1" x14ac:dyDescent="0.2">
      <c r="A30" s="29"/>
      <c r="B30" s="30" t="str">
        <f>'Control Entry'!N37</f>
        <v/>
      </c>
      <c r="C30" s="30" t="str">
        <f>'Control Entry'!O37</f>
        <v/>
      </c>
      <c r="D30" s="37"/>
      <c r="E30" s="32" t="str">
        <f>IF(ISBLANK('Control Entry'!F37),"",'Control Entry'!F37)</f>
        <v/>
      </c>
      <c r="F30" s="96" t="str">
        <f>IF(ISBLANK('Control Entry'!I37),"",'Control Entry'!I37)</f>
        <v/>
      </c>
      <c r="G30" s="97"/>
      <c r="H30" s="27" t="s">
        <v>29</v>
      </c>
      <c r="M30" s="16"/>
      <c r="N30" s="20"/>
      <c r="O30" s="20"/>
      <c r="P30" s="21"/>
      <c r="Q30" s="103"/>
      <c r="R30" s="20"/>
      <c r="S30" s="20"/>
      <c r="T30" s="21"/>
      <c r="U30" s="22"/>
    </row>
    <row r="31" spans="1:22" ht="36" customHeight="1" x14ac:dyDescent="0.2">
      <c r="A31" s="38" t="str">
        <f>IF(ISBLANK('Control Entry'!D37),"",'Control Entry'!D37)</f>
        <v/>
      </c>
      <c r="B31" s="39" t="str">
        <f>'Control Entry'!N37</f>
        <v/>
      </c>
      <c r="C31" s="39" t="str">
        <f>'Control Entry'!O37</f>
        <v/>
      </c>
      <c r="D31" s="40" t="str">
        <f>IF(ISBLANK('Control Entry'!E37),"",'Control Entry'!E37)</f>
        <v/>
      </c>
      <c r="E31" s="32" t="str">
        <f>IF(ISBLANK('Control Entry'!G37),"",'Control Entry'!G37)</f>
        <v/>
      </c>
      <c r="F31" s="96" t="str">
        <f>IF(ISBLANK('Control Entry'!J37),"",'Control Entry'!J37)</f>
        <v/>
      </c>
      <c r="G31" s="97"/>
      <c r="H31" s="27" t="s">
        <v>29</v>
      </c>
      <c r="M31" s="17"/>
      <c r="N31" s="22"/>
      <c r="O31" s="22"/>
      <c r="P31" s="23"/>
      <c r="Q31" s="104"/>
      <c r="R31" s="22"/>
      <c r="S31" s="22"/>
      <c r="T31" s="23"/>
      <c r="U31" s="22"/>
    </row>
    <row r="32" spans="1:22" ht="36" customHeight="1" thickBot="1" x14ac:dyDescent="0.25">
      <c r="A32" s="33"/>
      <c r="B32" s="34" t="str">
        <f>'Control Entry'!N37</f>
        <v/>
      </c>
      <c r="C32" s="34" t="str">
        <f>'Control Entry'!O37</f>
        <v/>
      </c>
      <c r="D32" s="35"/>
      <c r="E32" s="36" t="str">
        <f>IF(ISBLANK('Control Entry'!H37),"",'Control Entry'!H37)</f>
        <v/>
      </c>
      <c r="F32" s="101" t="str">
        <f>IF(ISBLANK('Control Entry'!K37),"",'Control Entry'!K37)</f>
        <v/>
      </c>
      <c r="G32" s="100"/>
      <c r="H32" s="27" t="s">
        <v>29</v>
      </c>
      <c r="M32" s="147" t="s">
        <v>82</v>
      </c>
      <c r="N32" s="148"/>
      <c r="O32" s="148"/>
      <c r="P32" s="149"/>
      <c r="Q32" s="150">
        <f>'Control Entry'!B3</f>
        <v>44874</v>
      </c>
      <c r="R32" s="151"/>
      <c r="S32" s="151"/>
      <c r="T32" s="152"/>
      <c r="U32" s="22"/>
    </row>
    <row r="33" spans="1:22" ht="36" customHeight="1" x14ac:dyDescent="0.2">
      <c r="A33" s="141" t="s">
        <v>43</v>
      </c>
      <c r="B33" s="141"/>
      <c r="C33" s="141"/>
      <c r="D33" s="141"/>
      <c r="E33" s="141"/>
      <c r="F33" s="141"/>
      <c r="G33" s="141"/>
      <c r="H33" s="41"/>
      <c r="I33" s="41"/>
      <c r="M33" s="156" t="s">
        <v>86</v>
      </c>
      <c r="N33" s="157"/>
      <c r="O33" s="157"/>
      <c r="P33" s="157"/>
      <c r="Q33" s="158">
        <f>'Control Entry'!B4</f>
        <v>45036</v>
      </c>
      <c r="R33" s="159"/>
      <c r="S33" s="159"/>
      <c r="T33" s="159"/>
      <c r="U33" s="93"/>
      <c r="V33" s="57"/>
    </row>
    <row r="34" spans="1:22" ht="36" customHeight="1" x14ac:dyDescent="0.2">
      <c r="A34"/>
      <c r="O34" s="47"/>
      <c r="P34" s="47"/>
      <c r="Q34" s="47"/>
      <c r="R34" s="46"/>
    </row>
    <row r="35" spans="1:22" ht="36" customHeight="1" x14ac:dyDescent="0.2">
      <c r="A35"/>
      <c r="N35" s="155"/>
      <c r="O35" s="155"/>
      <c r="P35" s="155"/>
      <c r="Q35" s="155"/>
      <c r="R35" s="155"/>
      <c r="S35" s="155"/>
      <c r="T35" s="155"/>
      <c r="U35" s="155"/>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L16:U16"/>
    <mergeCell ref="L22:N22"/>
    <mergeCell ref="S22:U22"/>
    <mergeCell ref="L11:N11"/>
    <mergeCell ref="S11:U11"/>
    <mergeCell ref="L12:N12"/>
    <mergeCell ref="S12:U12"/>
    <mergeCell ref="L13:N13"/>
    <mergeCell ref="R13:U13"/>
    <mergeCell ref="J21:U21"/>
  </mergeCells>
  <phoneticPr fontId="16" type="noConversion"/>
  <conditionalFormatting sqref="P22:U24">
    <cfRule type="expression" dxfId="14" priority="4">
      <formula>$S$3="#2"</formula>
    </cfRule>
  </conditionalFormatting>
  <conditionalFormatting sqref="K27:V27">
    <cfRule type="expression" dxfId="13" priority="3">
      <formula>$S$3="#2"</formula>
    </cfRule>
  </conditionalFormatting>
  <conditionalFormatting sqref="J22:N22">
    <cfRule type="expression" dxfId="12" priority="2">
      <formula>$S$3="#2"</formula>
    </cfRule>
  </conditionalFormatting>
  <conditionalFormatting sqref="J21:U21">
    <cfRule type="expression" dxfId="11" priority="1">
      <formula>$S$3&lt;&gt;"#2"</formula>
    </cfRule>
  </conditionalFormatting>
  <printOptions horizontalCentered="1" verticalCentered="1"/>
  <pageMargins left="0.2" right="0.2" top="0.2" bottom="0.2" header="0.51" footer="0.51"/>
  <pageSetup scale="44"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topLeftCell="F1" zoomScale="92" zoomScaleNormal="92" zoomScalePageLayoutView="92" workbookViewId="0">
      <selection activeCell="F3" sqref="F3"/>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8" width="8.83203125" customWidth="1"/>
    <col min="19" max="19" width="9" customWidth="1"/>
  </cols>
  <sheetData>
    <row r="1" spans="1:22" ht="21" thickBot="1" x14ac:dyDescent="0.2">
      <c r="A1" s="140" t="s">
        <v>74</v>
      </c>
      <c r="B1" s="140"/>
      <c r="C1" s="140"/>
      <c r="D1" s="140"/>
      <c r="E1" s="140"/>
      <c r="F1" s="140"/>
      <c r="G1" s="140"/>
      <c r="H1" s="27" t="s">
        <v>29</v>
      </c>
    </row>
    <row r="2" spans="1:22" ht="33.75" customHeight="1" thickBot="1" x14ac:dyDescent="0.25">
      <c r="A2" s="74" t="s">
        <v>30</v>
      </c>
      <c r="B2" s="9" t="s">
        <v>3</v>
      </c>
      <c r="C2" s="9" t="s">
        <v>4</v>
      </c>
      <c r="D2" s="9" t="s">
        <v>25</v>
      </c>
      <c r="E2" s="9" t="s">
        <v>31</v>
      </c>
      <c r="F2" s="9" t="s">
        <v>59</v>
      </c>
      <c r="G2" s="74" t="s">
        <v>32</v>
      </c>
      <c r="H2" s="27" t="s">
        <v>29</v>
      </c>
      <c r="K2" s="145" t="s">
        <v>55</v>
      </c>
      <c r="L2" s="145"/>
      <c r="M2" s="145"/>
      <c r="N2" s="145"/>
      <c r="O2" s="145"/>
      <c r="P2" s="145"/>
      <c r="Q2" s="145"/>
      <c r="R2" s="145"/>
      <c r="S2" s="145"/>
      <c r="T2" s="145"/>
      <c r="U2" s="145"/>
    </row>
    <row r="3" spans="1:22" ht="36" customHeight="1" x14ac:dyDescent="0.45">
      <c r="A3" s="29"/>
      <c r="B3" s="30" t="str">
        <f>'Control Entry'!N41</f>
        <v/>
      </c>
      <c r="C3" s="30" t="str">
        <f>'Control Entry'!O41</f>
        <v/>
      </c>
      <c r="D3" s="31"/>
      <c r="E3" s="32" t="str">
        <f>IF(ISBLANK('Control Entry'!F41),"",'Control Entry'!F41)</f>
        <v/>
      </c>
      <c r="F3" s="96" t="str">
        <f>IF(ISBLANK('Control Entry'!I41),"",'Control Entry'!I41)</f>
        <v/>
      </c>
      <c r="G3" s="97"/>
      <c r="H3" s="27" t="s">
        <v>29</v>
      </c>
      <c r="K3" s="14"/>
      <c r="O3" s="129" t="s">
        <v>73</v>
      </c>
      <c r="P3" s="129"/>
      <c r="Q3" s="129"/>
      <c r="R3" s="129"/>
      <c r="S3" s="85" t="str">
        <f>IF('Control Entry'!D41&lt;&gt;0,"#3",IF(AND('Control Entry'!D41=0,'Control Entry'!D54&lt;&gt;0),"#1",""))</f>
        <v/>
      </c>
      <c r="T3" s="86"/>
      <c r="U3" s="42"/>
    </row>
    <row r="4" spans="1:22" ht="36" customHeight="1" x14ac:dyDescent="0.2">
      <c r="A4" s="38" t="str">
        <f>IF(ISBLANK('Control Entry'!D41),"",'Control Entry'!D41)</f>
        <v/>
      </c>
      <c r="B4" s="39" t="str">
        <f>'Control Entry'!N41</f>
        <v/>
      </c>
      <c r="C4" s="39" t="str">
        <f>'Control Entry'!O41</f>
        <v/>
      </c>
      <c r="D4" s="40" t="str">
        <f>IF(ISBLANK('Control Entry'!E41),"",'Control Entry'!E41)</f>
        <v/>
      </c>
      <c r="E4" s="32" t="str">
        <f>IF(ISBLANK('Control Entry'!G41),"",'Control Entry'!G41)</f>
        <v/>
      </c>
      <c r="F4" s="96" t="str">
        <f>IF(ISBLANK('Control Entry'!J41),"",'Control Entry'!J41)</f>
        <v/>
      </c>
      <c r="G4" s="97"/>
      <c r="H4" s="27" t="s">
        <v>29</v>
      </c>
      <c r="K4" s="14"/>
      <c r="M4" s="126" t="str">
        <f>IF(ISBLANK(brevet),"",brevet&amp;" km Randonnée")</f>
        <v>300 km Randonnée</v>
      </c>
      <c r="N4" s="126"/>
      <c r="O4" s="126"/>
      <c r="P4" s="126"/>
      <c r="Q4" s="126"/>
      <c r="R4" s="126"/>
      <c r="S4" s="126"/>
      <c r="T4" s="126"/>
      <c r="U4" s="43"/>
    </row>
    <row r="5" spans="1:22" ht="36" customHeight="1" thickBot="1" x14ac:dyDescent="0.25">
      <c r="A5" s="33"/>
      <c r="B5" s="34" t="str">
        <f>'Control Entry'!N41</f>
        <v/>
      </c>
      <c r="C5" s="34" t="str">
        <f>'Control Entry'!O41</f>
        <v/>
      </c>
      <c r="D5" s="35"/>
      <c r="E5" s="36" t="str">
        <f>IF(ISBLANK('Control Entry'!H41),"",'Control Entry'!H41)</f>
        <v/>
      </c>
      <c r="F5" s="101" t="str">
        <f>IF(ISBLANK('Control Entry'!K41),"",'Control Entry'!K41)</f>
        <v/>
      </c>
      <c r="G5" s="100"/>
      <c r="H5" s="27" t="s">
        <v>29</v>
      </c>
      <c r="K5" s="14"/>
      <c r="M5" s="15"/>
      <c r="N5" s="125" t="s">
        <v>47</v>
      </c>
      <c r="O5" s="125"/>
      <c r="P5" s="61">
        <f>IF(ISBLANK(Brevet_Number),"",Brevet_Number)</f>
        <v>5241</v>
      </c>
      <c r="Q5" s="62"/>
      <c r="R5" s="144">
        <f>IF(ISBLANK('Control Entry'!$B10),"",'Control Entry'!$B10)</f>
        <v>45038</v>
      </c>
      <c r="S5" s="144"/>
      <c r="T5" s="144"/>
      <c r="U5" s="144"/>
      <c r="V5" s="44"/>
    </row>
    <row r="6" spans="1:22" ht="36" customHeight="1" x14ac:dyDescent="0.2">
      <c r="A6" s="29"/>
      <c r="B6" s="30" t="str">
        <f>'Control Entry'!N42</f>
        <v/>
      </c>
      <c r="C6" s="30" t="str">
        <f>'Control Entry'!O42</f>
        <v/>
      </c>
      <c r="D6" s="37"/>
      <c r="E6" s="32" t="str">
        <f>IF(ISBLANK('Control Entry'!F42),"",'Control Entry'!F42)</f>
        <v/>
      </c>
      <c r="F6" s="96" t="str">
        <f>IF(ISBLANK('Control Entry'!I42),"",'Control Entry'!I42)</f>
        <v/>
      </c>
      <c r="G6" s="97"/>
      <c r="H6" s="27" t="s">
        <v>29</v>
      </c>
      <c r="K6" s="14"/>
      <c r="L6" s="132" t="str">
        <f>IF(ISBLANK(Brevet_Description),"",Brevet_Description)</f>
        <v>Ryder Hatzic Hills 2023</v>
      </c>
      <c r="M6" s="132"/>
      <c r="N6" s="132"/>
      <c r="O6" s="132"/>
      <c r="P6" s="132"/>
      <c r="Q6" s="132"/>
      <c r="R6" s="132"/>
      <c r="S6" s="132"/>
      <c r="T6" s="132"/>
      <c r="U6" s="132"/>
    </row>
    <row r="7" spans="1:22" ht="36" customHeight="1" x14ac:dyDescent="0.2">
      <c r="A7" s="38" t="str">
        <f>IF(ISBLANK('Control Entry'!D42),"",'Control Entry'!D42)</f>
        <v/>
      </c>
      <c r="B7" s="39" t="str">
        <f>'Control Entry'!N42</f>
        <v/>
      </c>
      <c r="C7" s="39" t="str">
        <f>'Control Entry'!O42</f>
        <v/>
      </c>
      <c r="D7" s="40" t="str">
        <f>IF(ISBLANK('Control Entry'!E42),"",'Control Entry'!E42)</f>
        <v/>
      </c>
      <c r="E7" s="32" t="str">
        <f>IF(ISBLANK('Control Entry'!G42),"",'Control Entry'!G42)</f>
        <v/>
      </c>
      <c r="F7" s="96" t="str">
        <f>IF(ISBLANK('Control Entry'!J42),"",'Control Entry'!J42)</f>
        <v/>
      </c>
      <c r="G7" s="97"/>
      <c r="H7" s="27" t="s">
        <v>29</v>
      </c>
    </row>
    <row r="8" spans="1:22" ht="36" customHeight="1" thickBot="1" x14ac:dyDescent="0.25">
      <c r="A8" s="33"/>
      <c r="B8" s="34" t="str">
        <f>'Control Entry'!N42</f>
        <v/>
      </c>
      <c r="C8" s="34" t="str">
        <f>'Control Entry'!O42</f>
        <v/>
      </c>
      <c r="D8" s="35"/>
      <c r="E8" s="36" t="str">
        <f>IF(ISBLANK('Control Entry'!H42),"",'Control Entry'!H42)</f>
        <v/>
      </c>
      <c r="F8" s="101" t="str">
        <f>IF(ISBLANK('Control Entry'!K42),"",'Control Entry'!K42)</f>
        <v/>
      </c>
      <c r="G8" s="100"/>
      <c r="H8" s="27" t="s">
        <v>29</v>
      </c>
      <c r="J8" s="15" t="s">
        <v>34</v>
      </c>
      <c r="L8" s="146"/>
      <c r="M8" s="146"/>
      <c r="N8" s="146"/>
      <c r="O8" s="146"/>
      <c r="P8" s="146"/>
      <c r="Q8" s="146"/>
      <c r="R8" s="28"/>
      <c r="S8" s="45" t="s">
        <v>46</v>
      </c>
      <c r="T8" s="153"/>
      <c r="U8" s="153"/>
    </row>
    <row r="9" spans="1:22" ht="36" customHeight="1" thickBot="1" x14ac:dyDescent="0.3">
      <c r="A9" s="29"/>
      <c r="B9" s="30" t="str">
        <f>'Control Entry'!N43</f>
        <v/>
      </c>
      <c r="C9" s="30" t="str">
        <f>'Control Entry'!O43</f>
        <v/>
      </c>
      <c r="D9" s="37"/>
      <c r="E9" s="32" t="str">
        <f>IF(ISBLANK('Control Entry'!F43),"",'Control Entry'!F43)</f>
        <v/>
      </c>
      <c r="F9" s="96" t="str">
        <f>IF(ISBLANK('Control Entry'!I43),"",'Control Entry'!I43)</f>
        <v/>
      </c>
      <c r="G9" s="97"/>
      <c r="H9" s="27" t="s">
        <v>29</v>
      </c>
      <c r="J9" s="15" t="s">
        <v>35</v>
      </c>
      <c r="K9" s="15"/>
      <c r="L9" s="134" t="s">
        <v>54</v>
      </c>
      <c r="M9" s="134"/>
      <c r="N9" s="134"/>
      <c r="O9" s="134"/>
      <c r="P9" s="134"/>
      <c r="Q9" s="134"/>
      <c r="R9" s="134"/>
      <c r="S9" s="134"/>
      <c r="T9" s="134"/>
      <c r="U9" s="134"/>
    </row>
    <row r="10" spans="1:22" ht="36" customHeight="1" thickBot="1" x14ac:dyDescent="0.3">
      <c r="A10" s="38" t="str">
        <f>IF(ISBLANK('Control Entry'!D43),"",'Control Entry'!D43)</f>
        <v/>
      </c>
      <c r="B10" s="39" t="str">
        <f>'Control Entry'!N43</f>
        <v/>
      </c>
      <c r="C10" s="39" t="str">
        <f>'Control Entry'!O43</f>
        <v/>
      </c>
      <c r="D10" s="40" t="str">
        <f>IF(ISBLANK('Control Entry'!E43),"",'Control Entry'!E43)</f>
        <v/>
      </c>
      <c r="E10" s="32" t="str">
        <f>IF(ISBLANK('Control Entry'!G43),"",'Control Entry'!G43)</f>
        <v/>
      </c>
      <c r="F10" s="96" t="str">
        <f>IF(ISBLANK('Control Entry'!J43),"",'Control Entry'!J43)</f>
        <v/>
      </c>
      <c r="G10" s="97"/>
      <c r="H10" s="27" t="s">
        <v>29</v>
      </c>
      <c r="J10" s="15"/>
      <c r="K10" s="15"/>
      <c r="L10" s="135"/>
      <c r="M10" s="135"/>
      <c r="N10" s="135"/>
      <c r="O10" s="135"/>
      <c r="P10" s="135"/>
      <c r="Q10" s="135"/>
      <c r="R10" s="135"/>
      <c r="S10" s="135"/>
      <c r="T10" s="135"/>
      <c r="U10" s="135"/>
    </row>
    <row r="11" spans="1:22" ht="36" customHeight="1" thickBot="1" x14ac:dyDescent="0.3">
      <c r="A11" s="33"/>
      <c r="B11" s="34" t="str">
        <f>'Control Entry'!N43</f>
        <v/>
      </c>
      <c r="C11" s="34" t="str">
        <f>'Control Entry'!O43</f>
        <v/>
      </c>
      <c r="D11" s="35"/>
      <c r="E11" s="36" t="str">
        <f>IF(ISBLANK('Control Entry'!H43),"",'Control Entry'!H43)</f>
        <v/>
      </c>
      <c r="F11" s="101" t="str">
        <f>IF(ISBLANK('Control Entry'!K43),"",'Control Entry'!K43)</f>
        <v/>
      </c>
      <c r="G11" s="100"/>
      <c r="H11" s="27" t="s">
        <v>29</v>
      </c>
      <c r="J11" s="15" t="s">
        <v>36</v>
      </c>
      <c r="K11" s="15"/>
      <c r="L11" s="135"/>
      <c r="M11" s="135"/>
      <c r="N11" s="135"/>
      <c r="O11" s="18"/>
      <c r="P11" s="18" t="s">
        <v>37</v>
      </c>
      <c r="Q11" s="18"/>
      <c r="R11" s="18"/>
      <c r="S11" s="139"/>
      <c r="T11" s="139"/>
      <c r="U11" s="139"/>
    </row>
    <row r="12" spans="1:22" ht="36" customHeight="1" thickBot="1" x14ac:dyDescent="0.3">
      <c r="A12" s="29"/>
      <c r="B12" s="30" t="str">
        <f>'Control Entry'!N44</f>
        <v/>
      </c>
      <c r="C12" s="30" t="str">
        <f>'Control Entry'!O44</f>
        <v/>
      </c>
      <c r="D12" s="37"/>
      <c r="E12" s="32" t="str">
        <f>IF(ISBLANK('Control Entry'!F44),"",'Control Entry'!F44)</f>
        <v/>
      </c>
      <c r="F12" s="96" t="str">
        <f>IF(ISBLANK('Control Entry'!I44),"",'Control Entry'!I44)</f>
        <v/>
      </c>
      <c r="G12" s="97"/>
      <c r="H12" s="27" t="s">
        <v>29</v>
      </c>
      <c r="J12" s="15" t="s">
        <v>38</v>
      </c>
      <c r="K12" s="15"/>
      <c r="L12" s="135"/>
      <c r="M12" s="135"/>
      <c r="N12" s="135"/>
      <c r="O12" s="18"/>
      <c r="P12" s="18" t="s">
        <v>39</v>
      </c>
      <c r="Q12" s="18"/>
      <c r="R12" s="18"/>
      <c r="S12" s="139"/>
      <c r="T12" s="139"/>
      <c r="U12" s="139"/>
    </row>
    <row r="13" spans="1:22" ht="36" customHeight="1" thickBot="1" x14ac:dyDescent="0.3">
      <c r="A13" s="38" t="str">
        <f>IF(ISBLANK('Control Entry'!D44),"",'Control Entry'!D44)</f>
        <v/>
      </c>
      <c r="B13" s="39" t="str">
        <f>'Control Entry'!N44</f>
        <v/>
      </c>
      <c r="C13" s="39" t="str">
        <f>'Control Entry'!O44</f>
        <v/>
      </c>
      <c r="D13" s="40" t="str">
        <f>IF(ISBLANK('Control Entry'!E44),"",'Control Entry'!E44)</f>
        <v/>
      </c>
      <c r="E13" s="32" t="str">
        <f>IF(ISBLANK('Control Entry'!G44),"",'Control Entry'!G44)</f>
        <v/>
      </c>
      <c r="F13" s="96" t="str">
        <f>IF(ISBLANK('Control Entry'!J44),"",'Control Entry'!J44)</f>
        <v/>
      </c>
      <c r="G13" s="97"/>
      <c r="H13" s="27" t="s">
        <v>29</v>
      </c>
      <c r="J13" s="15" t="s">
        <v>40</v>
      </c>
      <c r="L13" s="138"/>
      <c r="M13" s="138"/>
      <c r="N13" s="138"/>
      <c r="O13" s="19"/>
      <c r="P13" s="18" t="s">
        <v>41</v>
      </c>
      <c r="Q13" s="18"/>
      <c r="R13" s="143"/>
      <c r="S13" s="143"/>
      <c r="T13" s="143"/>
      <c r="U13" s="143"/>
    </row>
    <row r="14" spans="1:22" ht="36" customHeight="1" thickBot="1" x14ac:dyDescent="0.25">
      <c r="A14" s="33"/>
      <c r="B14" s="34" t="str">
        <f>'Control Entry'!N44</f>
        <v/>
      </c>
      <c r="C14" s="34" t="str">
        <f>'Control Entry'!O44</f>
        <v/>
      </c>
      <c r="D14" s="35"/>
      <c r="E14" s="36" t="str">
        <f>IF(ISBLANK('Control Entry'!H44),"",'Control Entry'!H44)</f>
        <v/>
      </c>
      <c r="F14" s="101" t="str">
        <f>IF(ISBLANK('Control Entry'!K44),"",'Control Entry'!K44)</f>
        <v/>
      </c>
      <c r="G14" s="100"/>
      <c r="H14" s="27" t="s">
        <v>29</v>
      </c>
    </row>
    <row r="15" spans="1:22" ht="36" customHeight="1" x14ac:dyDescent="0.2">
      <c r="A15" s="29"/>
      <c r="B15" s="30" t="str">
        <f>'Control Entry'!N45</f>
        <v/>
      </c>
      <c r="C15" s="30" t="str">
        <f>'Control Entry'!O45</f>
        <v/>
      </c>
      <c r="D15" s="37"/>
      <c r="E15" s="32" t="str">
        <f>IF(ISBLANK('Control Entry'!F45),"",'Control Entry'!F45)</f>
        <v/>
      </c>
      <c r="F15" s="96" t="str">
        <f>IF(ISBLANK('Control Entry'!I45),"",'Control Entry'!I45)</f>
        <v/>
      </c>
      <c r="G15" s="97"/>
      <c r="H15" s="27" t="s">
        <v>29</v>
      </c>
      <c r="J15" s="15"/>
      <c r="L15" s="131" t="s">
        <v>58</v>
      </c>
      <c r="M15" s="131"/>
      <c r="N15" s="131"/>
      <c r="O15" s="131"/>
      <c r="P15" s="131"/>
      <c r="Q15" s="131"/>
      <c r="R15" s="131"/>
      <c r="S15" s="131"/>
      <c r="T15" s="131"/>
      <c r="U15" s="131"/>
    </row>
    <row r="16" spans="1:22" ht="36" customHeight="1" thickBot="1" x14ac:dyDescent="0.25">
      <c r="A16" s="38" t="str">
        <f>IF(ISBLANK('Control Entry'!D45),"",'Control Entry'!D45)</f>
        <v/>
      </c>
      <c r="B16" s="39" t="str">
        <f>'Control Entry'!N45</f>
        <v/>
      </c>
      <c r="C16" s="39" t="str">
        <f>'Control Entry'!O45</f>
        <v/>
      </c>
      <c r="D16" s="40" t="str">
        <f>IF(ISBLANK('Control Entry'!E45),"",'Control Entry'!E45)</f>
        <v/>
      </c>
      <c r="E16" s="32" t="str">
        <f>IF(ISBLANK('Control Entry'!G45),"",'Control Entry'!G45)</f>
        <v/>
      </c>
      <c r="F16" s="96" t="str">
        <f>IF(ISBLANK('Control Entry'!J45),"",'Control Entry'!J45)</f>
        <v/>
      </c>
      <c r="G16" s="97"/>
      <c r="H16" s="27" t="s">
        <v>29</v>
      </c>
      <c r="L16" s="162"/>
      <c r="M16" s="162"/>
      <c r="N16" s="162"/>
      <c r="O16" s="162"/>
      <c r="P16" s="162"/>
      <c r="Q16" s="162"/>
      <c r="R16" s="162"/>
      <c r="S16" s="162"/>
      <c r="T16" s="162"/>
      <c r="U16" s="162"/>
    </row>
    <row r="17" spans="1:22" ht="36" customHeight="1" thickBot="1" x14ac:dyDescent="0.25">
      <c r="A17" s="33"/>
      <c r="B17" s="34" t="str">
        <f>'Control Entry'!N45</f>
        <v/>
      </c>
      <c r="C17" s="34" t="str">
        <f>'Control Entry'!O45</f>
        <v/>
      </c>
      <c r="D17" s="35"/>
      <c r="E17" s="36" t="str">
        <f>IF(ISBLANK('Control Entry'!H45),"",'Control Entry'!H45)</f>
        <v/>
      </c>
      <c r="F17" s="101" t="str">
        <f>IF(ISBLANK('Control Entry'!K45),"",'Control Entry'!K45)</f>
        <v/>
      </c>
      <c r="G17" s="100"/>
      <c r="H17" s="27" t="s">
        <v>29</v>
      </c>
    </row>
    <row r="18" spans="1:22" ht="36" customHeight="1" x14ac:dyDescent="0.2">
      <c r="A18" s="29"/>
      <c r="B18" s="30" t="str">
        <f>'Control Entry'!N46</f>
        <v/>
      </c>
      <c r="C18" s="30" t="str">
        <f>'Control Entry'!O46</f>
        <v/>
      </c>
      <c r="D18" s="37"/>
      <c r="E18" s="32" t="str">
        <f>IF(ISBLANK('Control Entry'!F46),"",'Control Entry'!F46)</f>
        <v/>
      </c>
      <c r="F18" s="96" t="str">
        <f>IF(ISBLANK('Control Entry'!I46),"",'Control Entry'!I46)</f>
        <v/>
      </c>
      <c r="G18" s="97"/>
      <c r="H18" s="27" t="s">
        <v>29</v>
      </c>
    </row>
    <row r="19" spans="1:22" ht="36" customHeight="1" x14ac:dyDescent="0.2">
      <c r="A19" s="38" t="str">
        <f>IF(ISBLANK('Control Entry'!D46),"",'Control Entry'!D46)</f>
        <v/>
      </c>
      <c r="B19" s="39" t="str">
        <f>'Control Entry'!N46</f>
        <v/>
      </c>
      <c r="C19" s="39" t="str">
        <f>'Control Entry'!O46</f>
        <v/>
      </c>
      <c r="D19" s="40" t="str">
        <f>IF(ISBLANK('Control Entry'!E46),"",'Control Entry'!E46)</f>
        <v/>
      </c>
      <c r="E19" s="32" t="str">
        <f>IF(ISBLANK('Control Entry'!G46),"",'Control Entry'!G46)</f>
        <v/>
      </c>
      <c r="F19" s="96" t="str">
        <f>IF(ISBLANK('Control Entry'!J46),"",'Control Entry'!J46)</f>
        <v/>
      </c>
      <c r="G19" s="97"/>
      <c r="H19" s="27" t="s">
        <v>29</v>
      </c>
    </row>
    <row r="20" spans="1:22" ht="36" customHeight="1" thickBot="1" x14ac:dyDescent="0.25">
      <c r="A20" s="33"/>
      <c r="B20" s="34" t="str">
        <f>'Control Entry'!N46</f>
        <v/>
      </c>
      <c r="C20" s="34" t="str">
        <f>'Control Entry'!O46</f>
        <v/>
      </c>
      <c r="D20" s="35"/>
      <c r="E20" s="36" t="str">
        <f>IF(ISBLANK('Control Entry'!H46),"",'Control Entry'!H46)</f>
        <v/>
      </c>
      <c r="F20" s="101" t="str">
        <f>IF(ISBLANK('Control Entry'!K46),"",'Control Entry'!K46)</f>
        <v/>
      </c>
      <c r="G20" s="100"/>
      <c r="H20" s="27" t="s">
        <v>29</v>
      </c>
      <c r="J20" s="59" t="s">
        <v>44</v>
      </c>
      <c r="K20" s="59"/>
      <c r="L20" s="154">
        <f>IF(ISBLANK('Control Entry'!B12),"",'Control Entry'!B12)</f>
        <v>45038</v>
      </c>
      <c r="M20" s="154"/>
      <c r="N20" s="154"/>
      <c r="P20" s="18" t="s">
        <v>0</v>
      </c>
      <c r="Q20" s="18"/>
      <c r="S20" s="130">
        <f>IF(ISBLANK('Control Entry'!B13),"",'Control Entry'!B13)</f>
        <v>0.25</v>
      </c>
      <c r="T20" s="130"/>
      <c r="U20" s="130"/>
    </row>
    <row r="21" spans="1:22" ht="36" customHeight="1" x14ac:dyDescent="0.2">
      <c r="A21" s="29"/>
      <c r="B21" s="30" t="str">
        <f>'Control Entry'!N47</f>
        <v/>
      </c>
      <c r="C21" s="30" t="str">
        <f>'Control Entry'!O47</f>
        <v/>
      </c>
      <c r="D21" s="37"/>
      <c r="E21" s="32" t="str">
        <f>IF(ISBLANK('Control Entry'!F47),"",'Control Entry'!F47)</f>
        <v/>
      </c>
      <c r="F21" s="96" t="str">
        <f>IF(ISBLANK('Control Entry'!I47),"",'Control Entry'!I47)</f>
        <v/>
      </c>
      <c r="G21" s="97"/>
      <c r="H21" s="27" t="s">
        <v>29</v>
      </c>
      <c r="J21" s="160" t="s">
        <v>90</v>
      </c>
      <c r="K21" s="160"/>
      <c r="L21" s="160"/>
      <c r="M21" s="160"/>
      <c r="N21" s="160"/>
      <c r="O21" s="160"/>
      <c r="P21" s="160"/>
      <c r="Q21" s="160"/>
      <c r="R21" s="160"/>
      <c r="S21" s="160"/>
      <c r="T21" s="160"/>
      <c r="U21" s="160"/>
      <c r="V21" s="28"/>
    </row>
    <row r="22" spans="1:22" ht="36" customHeight="1" thickBot="1" x14ac:dyDescent="0.25">
      <c r="A22" s="38" t="str">
        <f>IF(ISBLANK('Control Entry'!D47),"",'Control Entry'!D47)</f>
        <v/>
      </c>
      <c r="B22" s="39" t="str">
        <f>'Control Entry'!N47</f>
        <v/>
      </c>
      <c r="C22" s="39" t="str">
        <f>'Control Entry'!O47</f>
        <v/>
      </c>
      <c r="D22" s="40" t="str">
        <f>IF(ISBLANK('Control Entry'!E47),"",'Control Entry'!E47)</f>
        <v/>
      </c>
      <c r="E22" s="32" t="str">
        <f>IF(ISBLANK('Control Entry'!G47),"",'Control Entry'!G47)</f>
        <v/>
      </c>
      <c r="F22" s="96" t="str">
        <f>IF(ISBLANK('Control Entry'!J47),"",'Control Entry'!J47)</f>
        <v/>
      </c>
      <c r="G22" s="97"/>
      <c r="H22" s="27" t="s">
        <v>29</v>
      </c>
      <c r="J22" s="81" t="s">
        <v>45</v>
      </c>
      <c r="K22" s="81"/>
      <c r="L22" s="102"/>
      <c r="M22" s="102"/>
      <c r="N22" s="102"/>
      <c r="O22" s="19"/>
      <c r="P22" s="18" t="s">
        <v>1</v>
      </c>
      <c r="Q22" s="18"/>
      <c r="R22" s="19"/>
      <c r="S22" s="133"/>
      <c r="T22" s="133"/>
      <c r="U22" s="133"/>
    </row>
    <row r="23" spans="1:22" ht="36" customHeight="1" thickBot="1" x14ac:dyDescent="0.25">
      <c r="A23" s="33"/>
      <c r="B23" s="34" t="str">
        <f>'Control Entry'!N47</f>
        <v/>
      </c>
      <c r="C23" s="34" t="str">
        <f>'Control Entry'!O47</f>
        <v/>
      </c>
      <c r="D23" s="35"/>
      <c r="E23" s="36" t="str">
        <f>IF(ISBLANK('Control Entry'!H47),"",'Control Entry'!H47)</f>
        <v/>
      </c>
      <c r="F23" s="101" t="str">
        <f>IF(ISBLANK('Control Entry'!K47),"",'Control Entry'!K47)</f>
        <v/>
      </c>
      <c r="G23" s="100"/>
      <c r="H23" s="27" t="s">
        <v>29</v>
      </c>
      <c r="J23" s="81"/>
      <c r="K23" s="81"/>
      <c r="L23" s="57"/>
      <c r="M23" s="57"/>
      <c r="N23" s="57"/>
      <c r="O23" s="22"/>
      <c r="P23" s="56"/>
      <c r="Q23" s="56"/>
      <c r="R23" s="22"/>
      <c r="S23" s="22"/>
      <c r="T23" s="22"/>
      <c r="U23" s="22"/>
      <c r="V23" s="28"/>
    </row>
    <row r="24" spans="1:22" ht="36" customHeight="1" thickBot="1" x14ac:dyDescent="0.25">
      <c r="A24" s="29"/>
      <c r="B24" s="30" t="str">
        <f>'Control Entry'!N48</f>
        <v/>
      </c>
      <c r="C24" s="30" t="str">
        <f>'Control Entry'!O48</f>
        <v/>
      </c>
      <c r="D24" s="37"/>
      <c r="E24" s="32" t="str">
        <f>IF(ISBLANK('Control Entry'!F48),"",'Control Entry'!F48)</f>
        <v/>
      </c>
      <c r="F24" s="96" t="str">
        <f>IF(ISBLANK('Control Entry'!I48),"",'Control Entry'!I48)</f>
        <v/>
      </c>
      <c r="G24" s="97"/>
      <c r="H24" s="27" t="s">
        <v>29</v>
      </c>
      <c r="J24" s="133"/>
      <c r="K24" s="133"/>
      <c r="L24" s="133"/>
      <c r="M24" s="133"/>
      <c r="N24" s="133"/>
      <c r="O24" s="19"/>
      <c r="P24" s="18" t="s">
        <v>2</v>
      </c>
      <c r="Q24" s="18"/>
      <c r="R24" s="19"/>
      <c r="S24" s="133"/>
      <c r="T24" s="133"/>
      <c r="U24" s="133"/>
    </row>
    <row r="25" spans="1:22" ht="36" customHeight="1" x14ac:dyDescent="0.2">
      <c r="A25" s="38" t="str">
        <f>IF(ISBLANK('Control Entry'!D48),"",'Control Entry'!D48)</f>
        <v/>
      </c>
      <c r="B25" s="39" t="str">
        <f>'Control Entry'!N48</f>
        <v/>
      </c>
      <c r="C25" s="39" t="str">
        <f>'Control Entry'!O48</f>
        <v/>
      </c>
      <c r="D25" s="40" t="str">
        <f>IF(ISBLANK('Control Entry'!E48),"",'Control Entry'!E48)</f>
        <v/>
      </c>
      <c r="E25" s="32" t="str">
        <f>IF(ISBLANK('Control Entry'!G48),"",'Control Entry'!G48)</f>
        <v/>
      </c>
      <c r="F25" s="96" t="str">
        <f>IF(ISBLANK('Control Entry'!J48),"",'Control Entry'!J48)</f>
        <v/>
      </c>
      <c r="G25" s="97"/>
      <c r="H25" s="27" t="s">
        <v>29</v>
      </c>
      <c r="J25" s="128" t="s">
        <v>17</v>
      </c>
      <c r="K25" s="128"/>
      <c r="L25" s="128"/>
      <c r="M25" s="128"/>
      <c r="N25" s="128"/>
      <c r="O25" s="51"/>
      <c r="P25" s="127"/>
      <c r="Q25" s="127"/>
      <c r="R25" s="51"/>
      <c r="S25" s="142"/>
      <c r="T25" s="142"/>
      <c r="U25" s="142"/>
      <c r="V25" s="142"/>
    </row>
    <row r="26" spans="1:22" ht="36" customHeight="1" thickBot="1" x14ac:dyDescent="0.25">
      <c r="A26" s="33"/>
      <c r="B26" s="34" t="str">
        <f>'Control Entry'!N48</f>
        <v/>
      </c>
      <c r="C26" s="34" t="str">
        <f>'Control Entry'!O48</f>
        <v/>
      </c>
      <c r="D26" s="35"/>
      <c r="E26" s="36" t="str">
        <f>IF(ISBLANK('Control Entry'!H48),"",'Control Entry'!H48)</f>
        <v/>
      </c>
      <c r="F26" s="101" t="str">
        <f>IF(ISBLANK('Control Entry'!K48),"",'Control Entry'!K48)</f>
        <v/>
      </c>
      <c r="G26" s="100"/>
      <c r="H26" s="27" t="s">
        <v>29</v>
      </c>
    </row>
    <row r="27" spans="1:22" ht="36" customHeight="1" x14ac:dyDescent="0.2">
      <c r="A27" s="29"/>
      <c r="B27" s="30" t="str">
        <f>'Control Entry'!N49</f>
        <v/>
      </c>
      <c r="C27" s="30" t="str">
        <f>'Control Entry'!O49</f>
        <v/>
      </c>
      <c r="D27" s="37"/>
      <c r="E27" s="32" t="str">
        <f>IF(ISBLANK('Control Entry'!F49),"",'Control Entry'!F49)</f>
        <v/>
      </c>
      <c r="F27" s="96" t="str">
        <f>IF(ISBLANK('Control Entry'!I49),"",'Control Entry'!I49)</f>
        <v/>
      </c>
      <c r="G27" s="97"/>
      <c r="H27" s="27" t="s">
        <v>29</v>
      </c>
      <c r="K27" s="126" t="s">
        <v>56</v>
      </c>
      <c r="L27" s="127"/>
      <c r="M27" s="50" t="s">
        <v>57</v>
      </c>
      <c r="N27" s="127" t="s">
        <v>49</v>
      </c>
      <c r="O27" s="127"/>
      <c r="P27" s="127" t="s">
        <v>50</v>
      </c>
      <c r="Q27" s="127"/>
      <c r="R27" s="51" t="s">
        <v>51</v>
      </c>
      <c r="S27" s="142" t="s">
        <v>52</v>
      </c>
      <c r="T27" s="142"/>
      <c r="U27" s="142" t="s">
        <v>53</v>
      </c>
      <c r="V27" s="142"/>
    </row>
    <row r="28" spans="1:22" ht="36" customHeight="1" x14ac:dyDescent="0.2">
      <c r="A28" s="38" t="str">
        <f>IF(ISBLANK('Control Entry'!D49),"",'Control Entry'!D49)</f>
        <v/>
      </c>
      <c r="B28" s="39" t="str">
        <f>'Control Entry'!N49</f>
        <v/>
      </c>
      <c r="C28" s="39" t="str">
        <f>'Control Entry'!O49</f>
        <v/>
      </c>
      <c r="D28" s="40" t="str">
        <f>IF(ISBLANK('Control Entry'!E49),"",'Control Entry'!E49)</f>
        <v/>
      </c>
      <c r="E28" s="32" t="str">
        <f>IF(ISBLANK('Control Entry'!G49),"",'Control Entry'!G49)</f>
        <v/>
      </c>
      <c r="F28" s="96" t="str">
        <f>IF(ISBLANK('Control Entry'!J49),"",'Control Entry'!J49)</f>
        <v/>
      </c>
      <c r="G28" s="97"/>
      <c r="H28" s="27" t="s">
        <v>29</v>
      </c>
    </row>
    <row r="29" spans="1:22" ht="36" customHeight="1" thickBot="1" x14ac:dyDescent="0.25">
      <c r="A29" s="33"/>
      <c r="B29" s="34" t="str">
        <f>'Control Entry'!N49</f>
        <v/>
      </c>
      <c r="C29" s="34" t="str">
        <f>'Control Entry'!O49</f>
        <v/>
      </c>
      <c r="D29" s="35"/>
      <c r="E29" s="36" t="str">
        <f>IF(ISBLANK('Control Entry'!H49),"",'Control Entry'!H49)</f>
        <v/>
      </c>
      <c r="F29" s="101" t="str">
        <f>IF(ISBLANK('Control Entry'!K49),"",'Control Entry'!K49)</f>
        <v/>
      </c>
      <c r="G29" s="100"/>
      <c r="H29" s="27" t="s">
        <v>29</v>
      </c>
      <c r="M29" s="155" t="s">
        <v>42</v>
      </c>
      <c r="N29" s="155"/>
      <c r="O29" s="155"/>
      <c r="P29" s="155"/>
      <c r="Q29" s="155"/>
      <c r="R29" s="155"/>
      <c r="S29" s="155"/>
      <c r="T29" s="155"/>
      <c r="U29" s="54"/>
    </row>
    <row r="30" spans="1:22" ht="36" customHeight="1" x14ac:dyDescent="0.2">
      <c r="A30" s="29"/>
      <c r="B30" s="30" t="str">
        <f>'Control Entry'!N50</f>
        <v/>
      </c>
      <c r="C30" s="30" t="str">
        <f>'Control Entry'!O50</f>
        <v/>
      </c>
      <c r="D30" s="37"/>
      <c r="E30" s="32" t="str">
        <f>IF(ISBLANK('Control Entry'!F50),"",'Control Entry'!F50)</f>
        <v/>
      </c>
      <c r="F30" s="96" t="str">
        <f>IF(ISBLANK('Control Entry'!I50),"",'Control Entry'!I50)</f>
        <v/>
      </c>
      <c r="G30" s="97"/>
      <c r="H30" s="27" t="s">
        <v>29</v>
      </c>
      <c r="M30" s="16"/>
      <c r="N30" s="20"/>
      <c r="O30" s="20"/>
      <c r="P30" s="21"/>
      <c r="Q30" s="103"/>
      <c r="R30" s="20"/>
      <c r="S30" s="20"/>
      <c r="T30" s="21"/>
      <c r="U30" s="22"/>
    </row>
    <row r="31" spans="1:22" ht="36" customHeight="1" x14ac:dyDescent="0.2">
      <c r="A31" s="38" t="str">
        <f>IF(ISBLANK('Control Entry'!D50),"",'Control Entry'!D50)</f>
        <v/>
      </c>
      <c r="B31" s="39" t="str">
        <f>'Control Entry'!N50</f>
        <v/>
      </c>
      <c r="C31" s="39" t="str">
        <f>'Control Entry'!O50</f>
        <v/>
      </c>
      <c r="D31" s="40" t="str">
        <f>IF(ISBLANK('Control Entry'!E50),"",'Control Entry'!E50)</f>
        <v/>
      </c>
      <c r="E31" s="32" t="str">
        <f>IF(ISBLANK('Control Entry'!G50),"",'Control Entry'!G50)</f>
        <v/>
      </c>
      <c r="F31" s="96" t="str">
        <f>IF(ISBLANK('Control Entry'!J50),"",'Control Entry'!J50)</f>
        <v/>
      </c>
      <c r="G31" s="97"/>
      <c r="H31" s="27" t="s">
        <v>29</v>
      </c>
      <c r="M31" s="17"/>
      <c r="N31" s="22"/>
      <c r="O31" s="22"/>
      <c r="P31" s="23"/>
      <c r="Q31" s="104"/>
      <c r="R31" s="22"/>
      <c r="S31" s="22"/>
      <c r="T31" s="23"/>
      <c r="U31" s="22"/>
    </row>
    <row r="32" spans="1:22" ht="36" customHeight="1" thickBot="1" x14ac:dyDescent="0.25">
      <c r="A32" s="33"/>
      <c r="B32" s="34" t="str">
        <f>'Control Entry'!N50</f>
        <v/>
      </c>
      <c r="C32" s="34" t="str">
        <f>'Control Entry'!O50</f>
        <v/>
      </c>
      <c r="D32" s="35"/>
      <c r="E32" s="36" t="str">
        <f>IF(ISBLANK('Control Entry'!H50),"",'Control Entry'!H50)</f>
        <v/>
      </c>
      <c r="F32" s="101" t="str">
        <f>IF(ISBLANK('Control Entry'!K50),"",'Control Entry'!K50)</f>
        <v/>
      </c>
      <c r="G32" s="100"/>
      <c r="H32" s="27" t="s">
        <v>29</v>
      </c>
      <c r="M32" s="147" t="s">
        <v>82</v>
      </c>
      <c r="N32" s="148"/>
      <c r="O32" s="148"/>
      <c r="P32" s="149"/>
      <c r="Q32" s="150">
        <f>'Control Entry'!B3</f>
        <v>44874</v>
      </c>
      <c r="R32" s="151"/>
      <c r="S32" s="151"/>
      <c r="T32" s="152"/>
      <c r="U32" s="22"/>
    </row>
    <row r="33" spans="1:22" ht="36" customHeight="1" x14ac:dyDescent="0.2">
      <c r="A33" s="141" t="s">
        <v>43</v>
      </c>
      <c r="B33" s="141"/>
      <c r="C33" s="141"/>
      <c r="D33" s="141"/>
      <c r="E33" s="141"/>
      <c r="F33" s="141"/>
      <c r="G33" s="141"/>
      <c r="H33" s="41"/>
      <c r="I33" s="41"/>
      <c r="M33" s="156" t="s">
        <v>86</v>
      </c>
      <c r="N33" s="157"/>
      <c r="O33" s="157"/>
      <c r="P33" s="157"/>
      <c r="Q33" s="158">
        <f>'Control Entry'!B4</f>
        <v>45036</v>
      </c>
      <c r="R33" s="159"/>
      <c r="S33" s="159"/>
      <c r="T33" s="159"/>
      <c r="U33" s="92"/>
      <c r="V33" s="57"/>
    </row>
    <row r="34" spans="1:22" ht="36" customHeight="1" x14ac:dyDescent="0.2">
      <c r="A34"/>
      <c r="O34" s="47"/>
      <c r="P34" s="47"/>
      <c r="Q34" s="47"/>
      <c r="R34" s="46"/>
    </row>
    <row r="35" spans="1:22" ht="36" customHeight="1" x14ac:dyDescent="0.2">
      <c r="A35"/>
      <c r="N35" s="155"/>
      <c r="O35" s="155"/>
      <c r="P35" s="155"/>
      <c r="Q35" s="155"/>
      <c r="R35" s="155"/>
      <c r="S35" s="155"/>
      <c r="T35" s="155"/>
      <c r="U35" s="155"/>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S22:U22"/>
    <mergeCell ref="J24:N24"/>
    <mergeCell ref="S24:U24"/>
    <mergeCell ref="S11:U11"/>
    <mergeCell ref="L12:N12"/>
    <mergeCell ref="S12:U12"/>
    <mergeCell ref="L13:N13"/>
    <mergeCell ref="R13:U13"/>
    <mergeCell ref="J21:U21"/>
  </mergeCells>
  <conditionalFormatting sqref="P22:U24">
    <cfRule type="expression" dxfId="10" priority="4">
      <formula>$S$3="#3"</formula>
    </cfRule>
  </conditionalFormatting>
  <conditionalFormatting sqref="J22:N22">
    <cfRule type="expression" dxfId="9" priority="3">
      <formula>$S$3="#3"</formula>
    </cfRule>
  </conditionalFormatting>
  <conditionalFormatting sqref="K27:V27">
    <cfRule type="expression" dxfId="8" priority="2">
      <formula>$S$3="#3"</formula>
    </cfRule>
  </conditionalFormatting>
  <conditionalFormatting sqref="J21:U21">
    <cfRule type="expression" dxfId="7" priority="1">
      <formula>$S$3&lt;&gt;"#3"</formula>
    </cfRule>
  </conditionalFormatting>
  <printOptions horizontalCentered="1" verticalCentered="1"/>
  <pageMargins left="0.2" right="0.2" top="0.2" bottom="0.2" header="0.51" footer="0.51"/>
  <pageSetup scale="44" orientation="landscape" horizontalDpi="4294967292" verticalDpi="4294967292"/>
  <ignoredErrors>
    <ignoredError sqref="L20" unlocked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topLeftCell="G1" zoomScale="92" zoomScaleNormal="92" zoomScalePageLayoutView="92" workbookViewId="0">
      <selection activeCell="L8" sqref="L8:Q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8" width="8.83203125" customWidth="1"/>
    <col min="19" max="19" width="9" customWidth="1"/>
  </cols>
  <sheetData>
    <row r="1" spans="1:22" ht="21" thickBot="1" x14ac:dyDescent="0.2">
      <c r="A1" s="140" t="s">
        <v>74</v>
      </c>
      <c r="B1" s="140"/>
      <c r="C1" s="140"/>
      <c r="D1" s="140"/>
      <c r="E1" s="140"/>
      <c r="F1" s="140"/>
      <c r="G1" s="140"/>
      <c r="H1" s="27" t="s">
        <v>29</v>
      </c>
    </row>
    <row r="2" spans="1:22" ht="33.75" customHeight="1" thickBot="1" x14ac:dyDescent="0.25">
      <c r="A2" s="74" t="s">
        <v>30</v>
      </c>
      <c r="B2" s="9" t="s">
        <v>3</v>
      </c>
      <c r="C2" s="9" t="s">
        <v>4</v>
      </c>
      <c r="D2" s="9" t="s">
        <v>25</v>
      </c>
      <c r="E2" s="9" t="s">
        <v>31</v>
      </c>
      <c r="F2" s="9" t="s">
        <v>59</v>
      </c>
      <c r="G2" s="74" t="s">
        <v>32</v>
      </c>
      <c r="H2" s="27" t="s">
        <v>29</v>
      </c>
      <c r="K2" s="145" t="s">
        <v>55</v>
      </c>
      <c r="L2" s="145"/>
      <c r="M2" s="145"/>
      <c r="N2" s="145"/>
      <c r="O2" s="145"/>
      <c r="P2" s="145"/>
      <c r="Q2" s="145"/>
      <c r="R2" s="145"/>
      <c r="S2" s="145"/>
      <c r="T2" s="145"/>
      <c r="U2" s="145"/>
    </row>
    <row r="3" spans="1:22" ht="36" customHeight="1" x14ac:dyDescent="0.45">
      <c r="A3" s="29"/>
      <c r="B3" s="30" t="str">
        <f>'Control Entry'!N54</f>
        <v/>
      </c>
      <c r="C3" s="30" t="str">
        <f>'Control Entry'!O54</f>
        <v/>
      </c>
      <c r="D3" s="31"/>
      <c r="E3" s="32" t="str">
        <f>IF(ISBLANK('Control Entry'!F54),"",'Control Entry'!F54)</f>
        <v/>
      </c>
      <c r="F3" s="96" t="str">
        <f>IF(ISBLANK('Control Entry'!I54),"",'Control Entry'!I54)</f>
        <v/>
      </c>
      <c r="G3" s="97"/>
      <c r="H3" s="27" t="s">
        <v>29</v>
      </c>
      <c r="K3" s="14"/>
      <c r="O3" s="129" t="s">
        <v>73</v>
      </c>
      <c r="P3" s="129"/>
      <c r="Q3" s="129"/>
      <c r="R3" s="129"/>
      <c r="S3" s="85" t="str">
        <f>IF(AND('Control Entry'!D41=0,'Control Entry'!D54&lt;&gt;0),"#2",IF('Control Entry'!D54=0,"","#4"))</f>
        <v/>
      </c>
      <c r="T3" s="86"/>
      <c r="U3" s="42"/>
    </row>
    <row r="4" spans="1:22" ht="36" customHeight="1" x14ac:dyDescent="0.2">
      <c r="A4" s="38" t="str">
        <f>IF(ISBLANK('Control Entry'!D54),"",'Control Entry'!D54)</f>
        <v/>
      </c>
      <c r="B4" s="39" t="str">
        <f>'Control Entry'!N54</f>
        <v/>
      </c>
      <c r="C4" s="39" t="str">
        <f>'Control Entry'!O54</f>
        <v/>
      </c>
      <c r="D4" s="40" t="str">
        <f>IF(ISBLANK('Control Entry'!E54),"",'Control Entry'!E54)</f>
        <v/>
      </c>
      <c r="E4" s="32" t="str">
        <f>IF(ISBLANK('Control Entry'!G54),"",'Control Entry'!G54)</f>
        <v/>
      </c>
      <c r="F4" s="96" t="str">
        <f>IF(ISBLANK('Control Entry'!J54),"",'Control Entry'!J54)</f>
        <v/>
      </c>
      <c r="G4" s="97"/>
      <c r="H4" s="27" t="s">
        <v>29</v>
      </c>
      <c r="K4" s="14"/>
      <c r="M4" s="126" t="str">
        <f>IF(ISBLANK(brevet),"",brevet&amp;" km Randonnée")</f>
        <v>300 km Randonnée</v>
      </c>
      <c r="N4" s="126"/>
      <c r="O4" s="126"/>
      <c r="P4" s="126"/>
      <c r="Q4" s="126"/>
      <c r="R4" s="126"/>
      <c r="S4" s="126"/>
      <c r="T4" s="126"/>
      <c r="U4" s="43"/>
    </row>
    <row r="5" spans="1:22" ht="36" customHeight="1" thickBot="1" x14ac:dyDescent="0.25">
      <c r="A5" s="33"/>
      <c r="B5" s="34" t="str">
        <f>'Control Entry'!N54</f>
        <v/>
      </c>
      <c r="C5" s="34" t="str">
        <f>'Control Entry'!O54</f>
        <v/>
      </c>
      <c r="D5" s="35"/>
      <c r="E5" s="36" t="str">
        <f>IF(ISBLANK('Control Entry'!H54),"",'Control Entry'!H54)</f>
        <v/>
      </c>
      <c r="F5" s="101" t="str">
        <f>IF(ISBLANK('Control Entry'!K54),"",'Control Entry'!K54)</f>
        <v/>
      </c>
      <c r="G5" s="100"/>
      <c r="H5" s="27" t="s">
        <v>29</v>
      </c>
      <c r="K5" s="14"/>
      <c r="M5" s="15"/>
      <c r="N5" s="125" t="s">
        <v>47</v>
      </c>
      <c r="O5" s="125"/>
      <c r="P5" s="61">
        <f>IF(ISBLANK(Brevet_Number),"",Brevet_Number)</f>
        <v>5241</v>
      </c>
      <c r="Q5" s="62"/>
      <c r="R5" s="144">
        <f>IF(ISBLANK('Control Entry'!$B10),"",'Control Entry'!$B10)</f>
        <v>45038</v>
      </c>
      <c r="S5" s="144"/>
      <c r="T5" s="144"/>
      <c r="U5" s="144"/>
      <c r="V5" s="44"/>
    </row>
    <row r="6" spans="1:22" ht="36" customHeight="1" x14ac:dyDescent="0.2">
      <c r="A6" s="29"/>
      <c r="B6" s="30" t="str">
        <f>'Control Entry'!N55</f>
        <v/>
      </c>
      <c r="C6" s="30" t="str">
        <f>'Control Entry'!O55</f>
        <v/>
      </c>
      <c r="D6" s="37"/>
      <c r="E6" s="32" t="str">
        <f>IF(ISBLANK('Control Entry'!F55),"",'Control Entry'!F55)</f>
        <v/>
      </c>
      <c r="F6" s="96" t="str">
        <f>IF(ISBLANK('Control Entry'!I55),"",'Control Entry'!I55)</f>
        <v/>
      </c>
      <c r="G6" s="97"/>
      <c r="H6" s="27" t="s">
        <v>29</v>
      </c>
      <c r="K6" s="14"/>
      <c r="L6" s="132" t="str">
        <f>IF(ISBLANK(Brevet_Description),"",Brevet_Description)</f>
        <v>Ryder Hatzic Hills 2023</v>
      </c>
      <c r="M6" s="132"/>
      <c r="N6" s="132"/>
      <c r="O6" s="132"/>
      <c r="P6" s="132"/>
      <c r="Q6" s="132"/>
      <c r="R6" s="132"/>
      <c r="S6" s="132"/>
      <c r="T6" s="132"/>
      <c r="U6" s="132"/>
    </row>
    <row r="7" spans="1:22" ht="36" customHeight="1" x14ac:dyDescent="0.2">
      <c r="A7" s="38" t="str">
        <f>IF(ISBLANK('Control Entry'!D55),"",'Control Entry'!D55)</f>
        <v/>
      </c>
      <c r="B7" s="39" t="str">
        <f>'Control Entry'!N55</f>
        <v/>
      </c>
      <c r="C7" s="39" t="str">
        <f>'Control Entry'!O55</f>
        <v/>
      </c>
      <c r="D7" s="40" t="str">
        <f>IF(ISBLANK('Control Entry'!E55),"",'Control Entry'!E55)</f>
        <v/>
      </c>
      <c r="E7" s="32" t="str">
        <f>IF(ISBLANK('Control Entry'!G55),"",'Control Entry'!G55)</f>
        <v/>
      </c>
      <c r="F7" s="96" t="str">
        <f>IF(ISBLANK('Control Entry'!J55),"",'Control Entry'!J55)</f>
        <v/>
      </c>
      <c r="G7" s="97"/>
      <c r="H7" s="27" t="s">
        <v>29</v>
      </c>
    </row>
    <row r="8" spans="1:22" ht="36" customHeight="1" thickBot="1" x14ac:dyDescent="0.25">
      <c r="A8" s="33"/>
      <c r="B8" s="34" t="str">
        <f>'Control Entry'!N55</f>
        <v/>
      </c>
      <c r="C8" s="34" t="str">
        <f>'Control Entry'!O55</f>
        <v/>
      </c>
      <c r="D8" s="35"/>
      <c r="E8" s="36" t="str">
        <f>IF(ISBLANK('Control Entry'!H55),"",'Control Entry'!H55)</f>
        <v/>
      </c>
      <c r="F8" s="101" t="str">
        <f>IF(ISBLANK('Control Entry'!K55),"",'Control Entry'!K55)</f>
        <v/>
      </c>
      <c r="G8" s="100"/>
      <c r="H8" s="27" t="s">
        <v>29</v>
      </c>
      <c r="J8" s="15" t="s">
        <v>34</v>
      </c>
      <c r="L8" s="146"/>
      <c r="M8" s="146"/>
      <c r="N8" s="146"/>
      <c r="O8" s="146"/>
      <c r="P8" s="146"/>
      <c r="Q8" s="146"/>
      <c r="R8" s="28"/>
      <c r="S8" s="45" t="s">
        <v>46</v>
      </c>
      <c r="T8" s="153"/>
      <c r="U8" s="153"/>
    </row>
    <row r="9" spans="1:22" ht="36" customHeight="1" thickBot="1" x14ac:dyDescent="0.3">
      <c r="A9" s="29"/>
      <c r="B9" s="30" t="str">
        <f>'Control Entry'!N56</f>
        <v/>
      </c>
      <c r="C9" s="30" t="str">
        <f>'Control Entry'!O56</f>
        <v/>
      </c>
      <c r="D9" s="37"/>
      <c r="E9" s="32" t="str">
        <f>IF(ISBLANK('Control Entry'!F56),"",'Control Entry'!F56)</f>
        <v/>
      </c>
      <c r="F9" s="96" t="str">
        <f>IF(ISBLANK('Control Entry'!I56),"",'Control Entry'!I56)</f>
        <v/>
      </c>
      <c r="G9" s="97"/>
      <c r="H9" s="27" t="s">
        <v>29</v>
      </c>
      <c r="J9" s="15" t="s">
        <v>35</v>
      </c>
      <c r="K9" s="15"/>
      <c r="L9" s="134" t="s">
        <v>54</v>
      </c>
      <c r="M9" s="134"/>
      <c r="N9" s="134"/>
      <c r="O9" s="134"/>
      <c r="P9" s="134"/>
      <c r="Q9" s="134"/>
      <c r="R9" s="134"/>
      <c r="S9" s="134"/>
      <c r="T9" s="134"/>
      <c r="U9" s="134"/>
    </row>
    <row r="10" spans="1:22" ht="36" customHeight="1" thickBot="1" x14ac:dyDescent="0.3">
      <c r="A10" s="38" t="str">
        <f>IF(ISBLANK('Control Entry'!D56),"",'Control Entry'!D56)</f>
        <v/>
      </c>
      <c r="B10" s="39" t="str">
        <f>'Control Entry'!N56</f>
        <v/>
      </c>
      <c r="C10" s="39" t="str">
        <f>'Control Entry'!O56</f>
        <v/>
      </c>
      <c r="D10" s="40" t="str">
        <f>IF(ISBLANK('Control Entry'!E56),"",'Control Entry'!E56)</f>
        <v/>
      </c>
      <c r="E10" s="32" t="str">
        <f>IF(ISBLANK('Control Entry'!G56),"",'Control Entry'!G56)</f>
        <v/>
      </c>
      <c r="F10" s="96" t="str">
        <f>IF(ISBLANK('Control Entry'!J56),"",'Control Entry'!J56)</f>
        <v/>
      </c>
      <c r="G10" s="97"/>
      <c r="H10" s="27" t="s">
        <v>29</v>
      </c>
      <c r="J10" s="15"/>
      <c r="K10" s="15"/>
      <c r="L10" s="135"/>
      <c r="M10" s="135"/>
      <c r="N10" s="135"/>
      <c r="O10" s="135"/>
      <c r="P10" s="135"/>
      <c r="Q10" s="135"/>
      <c r="R10" s="135"/>
      <c r="S10" s="135"/>
      <c r="T10" s="135"/>
      <c r="U10" s="135"/>
    </row>
    <row r="11" spans="1:22" ht="36" customHeight="1" thickBot="1" x14ac:dyDescent="0.3">
      <c r="A11" s="33"/>
      <c r="B11" s="34" t="str">
        <f>'Control Entry'!N56</f>
        <v/>
      </c>
      <c r="C11" s="34" t="str">
        <f>'Control Entry'!O56</f>
        <v/>
      </c>
      <c r="D11" s="35"/>
      <c r="E11" s="36" t="str">
        <f>IF(ISBLANK('Control Entry'!H56),"",'Control Entry'!H56)</f>
        <v/>
      </c>
      <c r="F11" s="101" t="str">
        <f>IF(ISBLANK('Control Entry'!K56),"",'Control Entry'!K56)</f>
        <v/>
      </c>
      <c r="G11" s="100"/>
      <c r="H11" s="27" t="s">
        <v>29</v>
      </c>
      <c r="J11" s="15" t="s">
        <v>36</v>
      </c>
      <c r="K11" s="15"/>
      <c r="L11" s="135"/>
      <c r="M11" s="135"/>
      <c r="N11" s="135"/>
      <c r="O11" s="18"/>
      <c r="P11" s="18" t="s">
        <v>37</v>
      </c>
      <c r="Q11" s="18"/>
      <c r="R11" s="18"/>
      <c r="S11" s="139"/>
      <c r="T11" s="139"/>
      <c r="U11" s="139"/>
    </row>
    <row r="12" spans="1:22" ht="36" customHeight="1" thickBot="1" x14ac:dyDescent="0.3">
      <c r="A12" s="29"/>
      <c r="B12" s="30" t="str">
        <f>'Control Entry'!N57</f>
        <v/>
      </c>
      <c r="C12" s="30" t="str">
        <f>'Control Entry'!O57</f>
        <v/>
      </c>
      <c r="D12" s="37"/>
      <c r="E12" s="32" t="str">
        <f>IF(ISBLANK('Control Entry'!F57),"",'Control Entry'!F57)</f>
        <v/>
      </c>
      <c r="F12" s="96" t="str">
        <f>IF(ISBLANK('Control Entry'!I57),"",'Control Entry'!I57)</f>
        <v/>
      </c>
      <c r="G12" s="97"/>
      <c r="H12" s="27" t="s">
        <v>29</v>
      </c>
      <c r="J12" s="15" t="s">
        <v>38</v>
      </c>
      <c r="K12" s="15"/>
      <c r="L12" s="135"/>
      <c r="M12" s="135"/>
      <c r="N12" s="135"/>
      <c r="O12" s="18"/>
      <c r="P12" s="18" t="s">
        <v>39</v>
      </c>
      <c r="Q12" s="18"/>
      <c r="R12" s="18"/>
      <c r="S12" s="139"/>
      <c r="T12" s="139"/>
      <c r="U12" s="139"/>
    </row>
    <row r="13" spans="1:22" ht="36" customHeight="1" thickBot="1" x14ac:dyDescent="0.3">
      <c r="A13" s="38" t="str">
        <f>IF(ISBLANK('Control Entry'!D57),"",'Control Entry'!D57)</f>
        <v/>
      </c>
      <c r="B13" s="39" t="str">
        <f>'Control Entry'!N57</f>
        <v/>
      </c>
      <c r="C13" s="39" t="str">
        <f>'Control Entry'!O57</f>
        <v/>
      </c>
      <c r="D13" s="40" t="str">
        <f>IF(ISBLANK('Control Entry'!E57),"",'Control Entry'!E57)</f>
        <v/>
      </c>
      <c r="E13" s="32" t="str">
        <f>IF(ISBLANK('Control Entry'!G57),"",'Control Entry'!G57)</f>
        <v/>
      </c>
      <c r="F13" s="96" t="str">
        <f>IF(ISBLANK('Control Entry'!J57),"",'Control Entry'!J57)</f>
        <v/>
      </c>
      <c r="G13" s="97"/>
      <c r="H13" s="27" t="s">
        <v>29</v>
      </c>
      <c r="J13" s="15" t="s">
        <v>40</v>
      </c>
      <c r="L13" s="138"/>
      <c r="M13" s="138"/>
      <c r="N13" s="138"/>
      <c r="O13" s="19"/>
      <c r="P13" s="18" t="s">
        <v>41</v>
      </c>
      <c r="Q13" s="18"/>
      <c r="R13" s="143"/>
      <c r="S13" s="143"/>
      <c r="T13" s="143"/>
      <c r="U13" s="143"/>
    </row>
    <row r="14" spans="1:22" ht="36" customHeight="1" thickBot="1" x14ac:dyDescent="0.25">
      <c r="A14" s="33"/>
      <c r="B14" s="34" t="str">
        <f>'Control Entry'!N57</f>
        <v/>
      </c>
      <c r="C14" s="34" t="str">
        <f>'Control Entry'!O57</f>
        <v/>
      </c>
      <c r="D14" s="35"/>
      <c r="E14" s="36" t="str">
        <f>IF(ISBLANK('Control Entry'!H57),"",'Control Entry'!H57)</f>
        <v/>
      </c>
      <c r="F14" s="101" t="str">
        <f>IF(ISBLANK('Control Entry'!K57),"",'Control Entry'!K57)</f>
        <v/>
      </c>
      <c r="G14" s="100"/>
      <c r="H14" s="27" t="s">
        <v>29</v>
      </c>
    </row>
    <row r="15" spans="1:22" ht="36" customHeight="1" x14ac:dyDescent="0.2">
      <c r="A15" s="29"/>
      <c r="B15" s="30" t="str">
        <f>'Control Entry'!N58</f>
        <v/>
      </c>
      <c r="C15" s="30" t="str">
        <f>'Control Entry'!O58</f>
        <v/>
      </c>
      <c r="D15" s="37"/>
      <c r="E15" s="32" t="str">
        <f>IF(ISBLANK('Control Entry'!F58),"",'Control Entry'!F58)</f>
        <v/>
      </c>
      <c r="F15" s="96" t="str">
        <f>IF(ISBLANK('Control Entry'!I58),"",'Control Entry'!I58)</f>
        <v/>
      </c>
      <c r="G15" s="97"/>
      <c r="H15" s="27" t="s">
        <v>29</v>
      </c>
      <c r="J15" s="15"/>
      <c r="L15" s="131" t="s">
        <v>58</v>
      </c>
      <c r="M15" s="131"/>
      <c r="N15" s="131"/>
      <c r="O15" s="131"/>
      <c r="P15" s="131"/>
      <c r="Q15" s="131"/>
      <c r="R15" s="131"/>
      <c r="S15" s="131"/>
      <c r="T15" s="131"/>
      <c r="U15" s="131"/>
    </row>
    <row r="16" spans="1:22" ht="36" customHeight="1" thickBot="1" x14ac:dyDescent="0.25">
      <c r="A16" s="38" t="str">
        <f>IF(ISBLANK('Control Entry'!D58),"",'Control Entry'!D58)</f>
        <v/>
      </c>
      <c r="B16" s="39" t="str">
        <f>'Control Entry'!N58</f>
        <v/>
      </c>
      <c r="C16" s="39" t="str">
        <f>'Control Entry'!O58</f>
        <v/>
      </c>
      <c r="D16" s="40" t="str">
        <f>IF(ISBLANK('Control Entry'!E58),"",'Control Entry'!E58)</f>
        <v/>
      </c>
      <c r="E16" s="32" t="str">
        <f>IF(ISBLANK('Control Entry'!G58),"",'Control Entry'!G58)</f>
        <v/>
      </c>
      <c r="F16" s="96" t="str">
        <f>IF(ISBLANK('Control Entry'!J58),"",'Control Entry'!J58)</f>
        <v/>
      </c>
      <c r="G16" s="97"/>
      <c r="H16" s="27" t="s">
        <v>29</v>
      </c>
      <c r="L16" s="162"/>
      <c r="M16" s="162"/>
      <c r="N16" s="162"/>
      <c r="O16" s="162"/>
      <c r="P16" s="162"/>
      <c r="Q16" s="162"/>
      <c r="R16" s="162"/>
      <c r="S16" s="162"/>
      <c r="T16" s="162"/>
      <c r="U16" s="162"/>
    </row>
    <row r="17" spans="1:22" ht="36" customHeight="1" thickBot="1" x14ac:dyDescent="0.25">
      <c r="A17" s="33"/>
      <c r="B17" s="34" t="str">
        <f>'Control Entry'!N58</f>
        <v/>
      </c>
      <c r="C17" s="34" t="str">
        <f>'Control Entry'!O58</f>
        <v/>
      </c>
      <c r="D17" s="35"/>
      <c r="E17" s="36" t="str">
        <f>IF(ISBLANK('Control Entry'!H58),"",'Control Entry'!H58)</f>
        <v/>
      </c>
      <c r="F17" s="101" t="str">
        <f>IF(ISBLANK('Control Entry'!K58),"",'Control Entry'!K58)</f>
        <v/>
      </c>
      <c r="G17" s="100"/>
      <c r="H17" s="27" t="s">
        <v>29</v>
      </c>
    </row>
    <row r="18" spans="1:22" ht="36" customHeight="1" x14ac:dyDescent="0.2">
      <c r="A18" s="29"/>
      <c r="B18" s="30" t="str">
        <f>'Control Entry'!N59</f>
        <v/>
      </c>
      <c r="C18" s="30" t="str">
        <f>'Control Entry'!O59</f>
        <v/>
      </c>
      <c r="D18" s="37"/>
      <c r="E18" s="32" t="str">
        <f>IF(ISBLANK('Control Entry'!F59),"",'Control Entry'!F59)</f>
        <v/>
      </c>
      <c r="F18" s="96" t="str">
        <f>IF(ISBLANK('Control Entry'!I59),"",'Control Entry'!I59)</f>
        <v/>
      </c>
      <c r="G18" s="97"/>
      <c r="H18" s="27" t="s">
        <v>29</v>
      </c>
    </row>
    <row r="19" spans="1:22" ht="36" customHeight="1" x14ac:dyDescent="0.2">
      <c r="A19" s="38" t="str">
        <f>IF(ISBLANK('Control Entry'!D59),"",'Control Entry'!D59)</f>
        <v/>
      </c>
      <c r="B19" s="39" t="str">
        <f>'Control Entry'!N59</f>
        <v/>
      </c>
      <c r="C19" s="39" t="str">
        <f>'Control Entry'!O59</f>
        <v/>
      </c>
      <c r="D19" s="40" t="str">
        <f>IF(ISBLANK('Control Entry'!E59),"",'Control Entry'!E59)</f>
        <v/>
      </c>
      <c r="E19" s="32" t="str">
        <f>IF(ISBLANK('Control Entry'!G59),"",'Control Entry'!G59)</f>
        <v/>
      </c>
      <c r="F19" s="96" t="str">
        <f>IF(ISBLANK('Control Entry'!J59),"",'Control Entry'!J59)</f>
        <v/>
      </c>
      <c r="G19" s="97"/>
      <c r="H19" s="27" t="s">
        <v>29</v>
      </c>
    </row>
    <row r="20" spans="1:22" ht="36" customHeight="1" thickBot="1" x14ac:dyDescent="0.25">
      <c r="A20" s="33"/>
      <c r="B20" s="34" t="str">
        <f>'Control Entry'!N59</f>
        <v/>
      </c>
      <c r="C20" s="34" t="str">
        <f>'Control Entry'!O59</f>
        <v/>
      </c>
      <c r="D20" s="35"/>
      <c r="E20" s="36" t="str">
        <f>IF(ISBLANK('Control Entry'!H59),"",'Control Entry'!H59)</f>
        <v/>
      </c>
      <c r="F20" s="101" t="str">
        <f>IF(ISBLANK('Control Entry'!K59),"",'Control Entry'!K59)</f>
        <v/>
      </c>
      <c r="G20" s="100"/>
      <c r="H20" s="27" t="s">
        <v>29</v>
      </c>
      <c r="J20" s="59" t="s">
        <v>44</v>
      </c>
      <c r="K20" s="59"/>
      <c r="L20" s="154">
        <f>IF(ISBLANK('Control Entry'!B12),"",'Control Entry'!B12)</f>
        <v>45038</v>
      </c>
      <c r="M20" s="154"/>
      <c r="N20" s="154"/>
      <c r="P20" s="18" t="s">
        <v>0</v>
      </c>
      <c r="Q20" s="18"/>
      <c r="S20" s="130">
        <f>IF(ISBLANK('Control Entry'!B13),"",'Control Entry'!B13)</f>
        <v>0.25</v>
      </c>
      <c r="T20" s="130"/>
      <c r="U20" s="130"/>
    </row>
    <row r="21" spans="1:22" ht="36" customHeight="1" x14ac:dyDescent="0.2">
      <c r="A21" s="29"/>
      <c r="B21" s="30" t="str">
        <f>'Control Entry'!N60</f>
        <v/>
      </c>
      <c r="C21" s="30" t="str">
        <f>'Control Entry'!O60</f>
        <v/>
      </c>
      <c r="D21" s="37"/>
      <c r="E21" s="32" t="str">
        <f>IF(ISBLANK('Control Entry'!F60),"",'Control Entry'!F60)</f>
        <v/>
      </c>
      <c r="F21" s="96" t="str">
        <f>IF(ISBLANK('Control Entry'!I60),"",'Control Entry'!I60)</f>
        <v/>
      </c>
      <c r="G21" s="97"/>
      <c r="H21" s="27" t="s">
        <v>29</v>
      </c>
      <c r="J21" s="160" t="s">
        <v>90</v>
      </c>
      <c r="K21" s="160"/>
      <c r="L21" s="160"/>
      <c r="M21" s="160"/>
      <c r="N21" s="160"/>
      <c r="O21" s="160"/>
      <c r="P21" s="160"/>
      <c r="Q21" s="160"/>
      <c r="R21" s="160"/>
      <c r="S21" s="160"/>
      <c r="T21" s="160"/>
      <c r="U21" s="160"/>
      <c r="V21" s="28"/>
    </row>
    <row r="22" spans="1:22" ht="36" customHeight="1" thickBot="1" x14ac:dyDescent="0.25">
      <c r="A22" s="38" t="str">
        <f>IF(ISBLANK('Control Entry'!D60),"",'Control Entry'!D60)</f>
        <v/>
      </c>
      <c r="B22" s="39" t="str">
        <f>'Control Entry'!N60</f>
        <v/>
      </c>
      <c r="C22" s="39" t="str">
        <f>'Control Entry'!O60</f>
        <v/>
      </c>
      <c r="D22" s="40" t="str">
        <f>IF(ISBLANK('Control Entry'!E60),"",'Control Entry'!E60)</f>
        <v/>
      </c>
      <c r="E22" s="32" t="str">
        <f>IF(ISBLANK('Control Entry'!G60),"",'Control Entry'!G60)</f>
        <v/>
      </c>
      <c r="F22" s="96" t="str">
        <f>IF(ISBLANK('Control Entry'!J60),"",'Control Entry'!J60)</f>
        <v/>
      </c>
      <c r="G22" s="97"/>
      <c r="H22" s="27" t="s">
        <v>29</v>
      </c>
      <c r="J22" s="18" t="s">
        <v>45</v>
      </c>
      <c r="K22" s="18"/>
      <c r="L22" s="19"/>
      <c r="M22" s="133"/>
      <c r="N22" s="133"/>
      <c r="O22" s="133"/>
      <c r="P22" s="18" t="s">
        <v>1</v>
      </c>
      <c r="Q22" s="18"/>
      <c r="R22" s="19"/>
      <c r="S22" s="133"/>
      <c r="T22" s="133"/>
      <c r="U22" s="133"/>
    </row>
    <row r="23" spans="1:22" ht="36" customHeight="1" thickBot="1" x14ac:dyDescent="0.25">
      <c r="A23" s="33"/>
      <c r="B23" s="34" t="str">
        <f>'Control Entry'!N60</f>
        <v/>
      </c>
      <c r="C23" s="34" t="str">
        <f>'Control Entry'!O60</f>
        <v/>
      </c>
      <c r="D23" s="35"/>
      <c r="E23" s="36" t="str">
        <f>IF(ISBLANK('Control Entry'!H60),"",'Control Entry'!H60)</f>
        <v/>
      </c>
      <c r="F23" s="101" t="str">
        <f>IF(ISBLANK('Control Entry'!K60),"",'Control Entry'!K60)</f>
        <v/>
      </c>
      <c r="G23" s="100"/>
      <c r="H23" s="27" t="s">
        <v>29</v>
      </c>
      <c r="J23" s="81"/>
      <c r="K23" s="81"/>
      <c r="L23" s="57"/>
      <c r="M23" s="57"/>
      <c r="N23" s="57"/>
      <c r="O23" s="22"/>
      <c r="P23" s="56"/>
      <c r="Q23" s="56"/>
      <c r="R23" s="22"/>
      <c r="S23" s="22"/>
      <c r="T23" s="22"/>
      <c r="U23" s="22"/>
      <c r="V23" s="28"/>
    </row>
    <row r="24" spans="1:22" ht="36" customHeight="1" thickBot="1" x14ac:dyDescent="0.25">
      <c r="A24" s="29"/>
      <c r="B24" s="30" t="str">
        <f>'Control Entry'!N61</f>
        <v/>
      </c>
      <c r="C24" s="30" t="str">
        <f>'Control Entry'!O61</f>
        <v/>
      </c>
      <c r="D24" s="37"/>
      <c r="E24" s="32" t="str">
        <f>IF(ISBLANK('Control Entry'!F61),"",'Control Entry'!F61)</f>
        <v/>
      </c>
      <c r="F24" s="96" t="str">
        <f>IF(ISBLANK('Control Entry'!I61),"",'Control Entry'!I61)</f>
        <v/>
      </c>
      <c r="G24" s="97"/>
      <c r="H24" s="27" t="s">
        <v>29</v>
      </c>
      <c r="J24" s="133"/>
      <c r="K24" s="133"/>
      <c r="L24" s="133"/>
      <c r="M24" s="133"/>
      <c r="N24" s="133"/>
      <c r="O24" s="19"/>
      <c r="P24" s="18" t="s">
        <v>2</v>
      </c>
      <c r="Q24" s="18"/>
      <c r="R24" s="19"/>
      <c r="S24" s="133"/>
      <c r="T24" s="133"/>
      <c r="U24" s="133"/>
    </row>
    <row r="25" spans="1:22" ht="36" customHeight="1" x14ac:dyDescent="0.2">
      <c r="A25" s="38" t="str">
        <f>IF(ISBLANK('Control Entry'!D61),"",'Control Entry'!D61)</f>
        <v/>
      </c>
      <c r="B25" s="39" t="str">
        <f>'Control Entry'!N61</f>
        <v/>
      </c>
      <c r="C25" s="39" t="str">
        <f>'Control Entry'!O61</f>
        <v/>
      </c>
      <c r="D25" s="40" t="str">
        <f>IF(ISBLANK('Control Entry'!E61),"",'Control Entry'!E61)</f>
        <v/>
      </c>
      <c r="E25" s="32" t="str">
        <f>IF(ISBLANK('Control Entry'!G61),"",'Control Entry'!G61)</f>
        <v/>
      </c>
      <c r="F25" s="96" t="str">
        <f>IF(ISBLANK('Control Entry'!J61),"",'Control Entry'!J61)</f>
        <v/>
      </c>
      <c r="G25" s="97"/>
      <c r="H25" s="27" t="s">
        <v>29</v>
      </c>
      <c r="J25" s="128" t="s">
        <v>17</v>
      </c>
      <c r="K25" s="128"/>
      <c r="L25" s="128"/>
      <c r="M25" s="128"/>
      <c r="N25" s="128"/>
      <c r="O25" s="51"/>
      <c r="P25" s="127"/>
      <c r="Q25" s="127"/>
      <c r="R25" s="51"/>
      <c r="S25" s="142"/>
      <c r="T25" s="142"/>
      <c r="U25" s="142"/>
      <c r="V25" s="142"/>
    </row>
    <row r="26" spans="1:22" ht="36" customHeight="1" thickBot="1" x14ac:dyDescent="0.25">
      <c r="A26" s="33"/>
      <c r="B26" s="34" t="str">
        <f>'Control Entry'!N61</f>
        <v/>
      </c>
      <c r="C26" s="34" t="str">
        <f>'Control Entry'!O61</f>
        <v/>
      </c>
      <c r="D26" s="35"/>
      <c r="E26" s="36" t="str">
        <f>IF(ISBLANK('Control Entry'!H61),"",'Control Entry'!H61)</f>
        <v/>
      </c>
      <c r="F26" s="101" t="str">
        <f>IF(ISBLANK('Control Entry'!K61),"",'Control Entry'!K61)</f>
        <v/>
      </c>
      <c r="G26" s="100"/>
      <c r="H26" s="27" t="s">
        <v>29</v>
      </c>
    </row>
    <row r="27" spans="1:22" ht="36" customHeight="1" x14ac:dyDescent="0.2">
      <c r="A27" s="29"/>
      <c r="B27" s="30" t="str">
        <f>'Control Entry'!N62</f>
        <v/>
      </c>
      <c r="C27" s="30" t="str">
        <f>'Control Entry'!O62</f>
        <v/>
      </c>
      <c r="D27" s="37"/>
      <c r="E27" s="32" t="str">
        <f>IF(ISBLANK('Control Entry'!F62),"",'Control Entry'!F62)</f>
        <v/>
      </c>
      <c r="F27" s="96" t="str">
        <f>IF(ISBLANK('Control Entry'!I62),"",'Control Entry'!I62)</f>
        <v/>
      </c>
      <c r="G27" s="97"/>
      <c r="H27" s="27" t="s">
        <v>29</v>
      </c>
      <c r="K27" s="126" t="s">
        <v>56</v>
      </c>
      <c r="L27" s="127"/>
      <c r="M27" s="50" t="s">
        <v>57</v>
      </c>
      <c r="N27" s="127" t="s">
        <v>49</v>
      </c>
      <c r="O27" s="127"/>
      <c r="P27" s="127" t="s">
        <v>50</v>
      </c>
      <c r="Q27" s="127"/>
      <c r="R27" s="51" t="s">
        <v>51</v>
      </c>
      <c r="S27" s="142" t="s">
        <v>52</v>
      </c>
      <c r="T27" s="142"/>
      <c r="U27" s="142" t="s">
        <v>53</v>
      </c>
      <c r="V27" s="142"/>
    </row>
    <row r="28" spans="1:22" ht="36" customHeight="1" x14ac:dyDescent="0.2">
      <c r="A28" s="38" t="str">
        <f>IF(ISBLANK('Control Entry'!D62),"",'Control Entry'!D62)</f>
        <v/>
      </c>
      <c r="B28" s="39" t="str">
        <f>'Control Entry'!N62</f>
        <v/>
      </c>
      <c r="C28" s="39" t="str">
        <f>'Control Entry'!O62</f>
        <v/>
      </c>
      <c r="D28" s="40" t="str">
        <f>IF(ISBLANK('Control Entry'!E62),"",'Control Entry'!E62)</f>
        <v/>
      </c>
      <c r="E28" s="32" t="str">
        <f>IF(ISBLANK('Control Entry'!G62),"",'Control Entry'!G62)</f>
        <v/>
      </c>
      <c r="F28" s="96" t="str">
        <f>IF(ISBLANK('Control Entry'!J62),"",'Control Entry'!J62)</f>
        <v/>
      </c>
      <c r="G28" s="97"/>
      <c r="H28" s="27" t="s">
        <v>29</v>
      </c>
    </row>
    <row r="29" spans="1:22" ht="36" customHeight="1" thickBot="1" x14ac:dyDescent="0.25">
      <c r="A29" s="33"/>
      <c r="B29" s="34" t="str">
        <f>'Control Entry'!N62</f>
        <v/>
      </c>
      <c r="C29" s="34" t="str">
        <f>'Control Entry'!O62</f>
        <v/>
      </c>
      <c r="D29" s="35"/>
      <c r="E29" s="36" t="str">
        <f>IF(ISBLANK('Control Entry'!H62),"",'Control Entry'!H62)</f>
        <v/>
      </c>
      <c r="F29" s="101" t="str">
        <f>IF(ISBLANK('Control Entry'!K62),"",'Control Entry'!K62)</f>
        <v/>
      </c>
      <c r="G29" s="100"/>
      <c r="H29" s="27" t="s">
        <v>29</v>
      </c>
      <c r="M29" s="155" t="s">
        <v>42</v>
      </c>
      <c r="N29" s="155"/>
      <c r="O29" s="155"/>
      <c r="P29" s="155"/>
      <c r="Q29" s="155"/>
      <c r="R29" s="155"/>
      <c r="S29" s="155"/>
      <c r="T29" s="155"/>
      <c r="U29" s="54"/>
    </row>
    <row r="30" spans="1:22" ht="36" customHeight="1" x14ac:dyDescent="0.2">
      <c r="A30" s="29"/>
      <c r="B30" s="30" t="str">
        <f>'Control Entry'!N63</f>
        <v/>
      </c>
      <c r="C30" s="30" t="str">
        <f>'Control Entry'!O63</f>
        <v/>
      </c>
      <c r="D30" s="37"/>
      <c r="E30" s="32" t="str">
        <f>IF(ISBLANK('Control Entry'!F63),"",'Control Entry'!F63)</f>
        <v/>
      </c>
      <c r="F30" s="96" t="str">
        <f>IF(ISBLANK('Control Entry'!I63),"",'Control Entry'!I63)</f>
        <v/>
      </c>
      <c r="G30" s="97"/>
      <c r="H30" s="27" t="s">
        <v>29</v>
      </c>
      <c r="M30" s="16"/>
      <c r="N30" s="20"/>
      <c r="O30" s="20"/>
      <c r="P30" s="21"/>
      <c r="Q30" s="103"/>
      <c r="R30" s="20"/>
      <c r="S30" s="20"/>
      <c r="T30" s="21"/>
      <c r="U30" s="22"/>
    </row>
    <row r="31" spans="1:22" ht="36" customHeight="1" x14ac:dyDescent="0.2">
      <c r="A31" s="38" t="str">
        <f>IF(ISBLANK('Control Entry'!D63),"",'Control Entry'!D63)</f>
        <v/>
      </c>
      <c r="B31" s="39" t="str">
        <f>'Control Entry'!N63</f>
        <v/>
      </c>
      <c r="C31" s="39" t="str">
        <f>'Control Entry'!O63</f>
        <v/>
      </c>
      <c r="D31" s="40" t="str">
        <f>IF(ISBLANK('Control Entry'!E63),"",'Control Entry'!E63)</f>
        <v/>
      </c>
      <c r="E31" s="32" t="str">
        <f>IF(ISBLANK('Control Entry'!G63),"",'Control Entry'!G63)</f>
        <v/>
      </c>
      <c r="F31" s="96" t="str">
        <f>IF(ISBLANK('Control Entry'!J63),"",'Control Entry'!J63)</f>
        <v/>
      </c>
      <c r="G31" s="97"/>
      <c r="H31" s="27" t="s">
        <v>29</v>
      </c>
      <c r="M31" s="17"/>
      <c r="N31" s="22"/>
      <c r="O31" s="22"/>
      <c r="P31" s="23"/>
      <c r="Q31" s="104"/>
      <c r="R31" s="22"/>
      <c r="S31" s="22"/>
      <c r="T31" s="23"/>
      <c r="U31" s="22"/>
    </row>
    <row r="32" spans="1:22" ht="36" customHeight="1" thickBot="1" x14ac:dyDescent="0.25">
      <c r="A32" s="33"/>
      <c r="B32" s="34" t="str">
        <f>'Control Entry'!N63</f>
        <v/>
      </c>
      <c r="C32" s="34" t="str">
        <f>'Control Entry'!O63</f>
        <v/>
      </c>
      <c r="D32" s="35"/>
      <c r="E32" s="36" t="str">
        <f>IF(ISBLANK('Control Entry'!H63),"",'Control Entry'!H63)</f>
        <v/>
      </c>
      <c r="F32" s="101" t="str">
        <f>IF(ISBLANK('Control Entry'!K63),"",'Control Entry'!K63)</f>
        <v/>
      </c>
      <c r="G32" s="100"/>
      <c r="H32" s="27" t="s">
        <v>29</v>
      </c>
      <c r="M32" s="147" t="s">
        <v>82</v>
      </c>
      <c r="N32" s="148"/>
      <c r="O32" s="148"/>
      <c r="P32" s="149"/>
      <c r="Q32" s="150">
        <f>'Control Entry'!B3</f>
        <v>44874</v>
      </c>
      <c r="R32" s="151"/>
      <c r="S32" s="151"/>
      <c r="T32" s="152"/>
      <c r="U32" s="22"/>
    </row>
    <row r="33" spans="1:22" ht="36" customHeight="1" x14ac:dyDescent="0.2">
      <c r="A33" s="141" t="s">
        <v>43</v>
      </c>
      <c r="B33" s="141"/>
      <c r="C33" s="141"/>
      <c r="D33" s="141"/>
      <c r="E33" s="141"/>
      <c r="F33" s="141"/>
      <c r="G33" s="141"/>
      <c r="H33" s="41"/>
      <c r="I33" s="41"/>
      <c r="M33" s="156" t="s">
        <v>86</v>
      </c>
      <c r="N33" s="157"/>
      <c r="O33" s="157"/>
      <c r="P33" s="157"/>
      <c r="Q33" s="158">
        <f>'Control Entry'!B4</f>
        <v>45036</v>
      </c>
      <c r="R33" s="159"/>
      <c r="S33" s="159"/>
      <c r="T33" s="159"/>
      <c r="U33" s="92"/>
      <c r="V33" s="57"/>
    </row>
    <row r="34" spans="1:22" ht="36" customHeight="1" x14ac:dyDescent="0.2">
      <c r="A34"/>
      <c r="O34" s="47"/>
      <c r="P34" s="47"/>
      <c r="Q34" s="47"/>
      <c r="R34" s="46"/>
    </row>
    <row r="35" spans="1:22" ht="36" customHeight="1" x14ac:dyDescent="0.2">
      <c r="A35"/>
      <c r="N35" s="155"/>
      <c r="O35" s="155"/>
      <c r="P35" s="155"/>
      <c r="Q35" s="155"/>
      <c r="R35" s="155"/>
      <c r="S35" s="155"/>
      <c r="T35" s="155"/>
      <c r="U35" s="155"/>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A33:G33"/>
    <mergeCell ref="M33:P33"/>
    <mergeCell ref="Q33:T33"/>
    <mergeCell ref="N35:U35"/>
    <mergeCell ref="K27:L27"/>
    <mergeCell ref="N27:O27"/>
    <mergeCell ref="P27:Q27"/>
    <mergeCell ref="S27:T27"/>
    <mergeCell ref="U27:V27"/>
    <mergeCell ref="M29:T29"/>
    <mergeCell ref="M32:P32"/>
    <mergeCell ref="Q32:T32"/>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J21:U21"/>
    <mergeCell ref="L11:N11"/>
    <mergeCell ref="S11:U11"/>
    <mergeCell ref="A1:G1"/>
    <mergeCell ref="K2:U2"/>
    <mergeCell ref="O3:R3"/>
    <mergeCell ref="M4:T4"/>
    <mergeCell ref="N5:O5"/>
    <mergeCell ref="R5:U5"/>
    <mergeCell ref="L6:U6"/>
    <mergeCell ref="L8:Q8"/>
    <mergeCell ref="T8:U8"/>
    <mergeCell ref="L9:U9"/>
    <mergeCell ref="L10:U10"/>
  </mergeCells>
  <conditionalFormatting sqref="K27:V27">
    <cfRule type="expression" dxfId="6" priority="8">
      <formula>$S$3="#4"</formula>
    </cfRule>
    <cfRule type="expression" dxfId="5" priority="7">
      <formula>$S$3="#2"</formula>
    </cfRule>
  </conditionalFormatting>
  <conditionalFormatting sqref="P22:U24">
    <cfRule type="expression" dxfId="4" priority="6">
      <formula>$S$3="#4"</formula>
    </cfRule>
    <cfRule type="expression" dxfId="3" priority="5">
      <formula>$S$3="#2"</formula>
    </cfRule>
  </conditionalFormatting>
  <conditionalFormatting sqref="J22:O22">
    <cfRule type="expression" dxfId="2" priority="3">
      <formula>$S$3="#2"</formula>
    </cfRule>
    <cfRule type="expression" dxfId="1" priority="4">
      <formula>$S$3="#4"</formula>
    </cfRule>
  </conditionalFormatting>
  <conditionalFormatting sqref="J21:U21">
    <cfRule type="expression" dxfId="0" priority="2">
      <formula>AND($S$3&lt;&gt;"#2",$S$3&lt;&gt;"#4")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30</vt:i4>
      </vt:variant>
    </vt:vector>
  </HeadingPairs>
  <TitlesOfParts>
    <vt:vector size="35" baseType="lpstr">
      <vt:lpstr>Control Entry</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2023-04-20T19:19:49Z</cp:lastPrinted>
  <dcterms:created xsi:type="dcterms:W3CDTF">1997-11-12T04:43:39Z</dcterms:created>
  <dcterms:modified xsi:type="dcterms:W3CDTF">2023-04-20T20:25:44Z</dcterms:modified>
</cp:coreProperties>
</file>