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stephencarol/Desktop/"/>
    </mc:Choice>
  </mc:AlternateContent>
  <xr:revisionPtr revIDLastSave="0" documentId="8_{18C5E406-C92C-F24E-AF0E-549361797523}" xr6:coauthVersionLast="36" xr6:coauthVersionMax="36" xr10:uidLastSave="{00000000-0000-0000-0000-000000000000}"/>
  <bookViews>
    <workbookView xWindow="0" yWindow="460" windowWidth="25600" windowHeight="15540" tabRatio="509" xr2:uid="{00000000-000D-0000-FFFF-FFFF00000000}"/>
  </bookViews>
  <sheets>
    <sheet name="Control Entry" sheetId="1" r:id="rId1"/>
    <sheet name="Control Card" sheetId="2" r:id="rId2"/>
  </sheets>
  <definedNames>
    <definedName name="Address_1">#REF!</definedName>
    <definedName name="Address_2">#REF!</definedName>
    <definedName name="brevet">'Control Entry'!$C$1</definedName>
    <definedName name="Brevet_Description">'Control Entry'!$B$3</definedName>
    <definedName name="Brevet_Length">'Control Entry'!$B$1</definedName>
    <definedName name="Brevet_Number">'Control Entry'!$B$4</definedName>
    <definedName name="City">#REF!</definedName>
    <definedName name="Close">'Control Entry'!$J$10:$J$19</definedName>
    <definedName name="Close_time">'Control Entry'!$L$10:$L$19</definedName>
    <definedName name="Control_1">'Control Entry'!$D$10:$L$10</definedName>
    <definedName name="Control_10">'Control Entry'!$D$19:$L$19</definedName>
    <definedName name="Control_11">'Control Entry'!#REF!</definedName>
    <definedName name="Control_12">'Control Entry'!#REF!</definedName>
    <definedName name="Control_13">'Control Entry'!#REF!</definedName>
    <definedName name="Control_14">'Control Entry'!#REF!</definedName>
    <definedName name="Control_15">'Control Entry'!#REF!</definedName>
    <definedName name="Control_16">'Control Entry'!#REF!</definedName>
    <definedName name="Control_17">'Control Entry'!#REF!</definedName>
    <definedName name="Control_18">'Control Entry'!#REF!</definedName>
    <definedName name="Control_19">'Control Entry'!#REF!</definedName>
    <definedName name="Control_2">'Control Entry'!$D$11:$L$11</definedName>
    <definedName name="Control_20">'Control Entry'!#REF!</definedName>
    <definedName name="Control_3">'Control Entry'!$D$12:$L$12</definedName>
    <definedName name="Control_4">'Control Entry'!$D$13:$L$13</definedName>
    <definedName name="Control_5">'Control Entry'!$D$14:$L$14</definedName>
    <definedName name="Control_6">'Control Entry'!$D$15:$L$15</definedName>
    <definedName name="Control_7">'Control Entry'!$D$16:$L$16</definedName>
    <definedName name="Control_8">'Control Entry'!$D$17:$L$17</definedName>
    <definedName name="Control_9">'Control Entry'!$D$18:$L$18</definedName>
    <definedName name="Country">#REF!</definedName>
    <definedName name="Distance">'Control Entry'!$D$10:$D$19</definedName>
    <definedName name="email">#REF!</definedName>
    <definedName name="Establishment_1">'Control Entry'!$F$10:$F$19</definedName>
    <definedName name="Establishment_2">'Control Entry'!$G$10:$G$19</definedName>
    <definedName name="Establishment_3">'Control Entry'!$H$10:$H$19</definedName>
    <definedName name="Fax">#REF!</definedName>
    <definedName name="First_Name">#REF!</definedName>
    <definedName name="Home_telephone">#REF!</definedName>
    <definedName name="HTML_CodePage" hidden="1">1252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hidden="1">"C:\My Documents\Web Page\300km_route_sheet_duncan.htm"</definedName>
    <definedName name="HTML8_2" hidden="1">1</definedName>
    <definedName name="HTML8_3" hidden="1">"VI0300A  Duncan--Victoria"</definedName>
    <definedName name="HTML8_4" hidden="1">"Web sheet"</definedName>
    <definedName name="HTML8_5" hidden="1">""</definedName>
    <definedName name="HTML8_6" hidden="1">1</definedName>
    <definedName name="HTML8_7" hidden="1">1</definedName>
    <definedName name="HTML8_8" hidden="1">"98-01-25"</definedName>
    <definedName name="HTML8_9" hidden="1">"Stephen Hinde"</definedName>
    <definedName name="HTMLCount" hidden="1">8</definedName>
    <definedName name="Initial">#REF!</definedName>
    <definedName name="Locale">'Control Entry'!$E$10:$E$19</definedName>
    <definedName name="Max_time">'Control Entry'!$B$2</definedName>
    <definedName name="Open">'Control Entry'!$I$10:$I$19</definedName>
    <definedName name="Open_time">'Control Entry'!$K$10:$K$19</definedName>
    <definedName name="Postal_Code">#REF!</definedName>
    <definedName name="_xlnm.Print_Area" localSheetId="1">'Control Card'!$A$1:$W$34</definedName>
    <definedName name="_xlnm.Print_Titles" localSheetId="1">'Control Card'!$1:$2</definedName>
    <definedName name="Province_State">#REF!</definedName>
    <definedName name="Start_date">'Control Entry'!$B$7</definedName>
    <definedName name="Start_time">'Control Entry'!$B$8</definedName>
    <definedName name="surname">#REF!</definedName>
    <definedName name="Work_telephone">#REF!</definedName>
  </definedNames>
  <calcPr calcId="18102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5" i="2" l="1"/>
  <c r="E13" i="2"/>
  <c r="E7" i="2"/>
  <c r="L6" i="2"/>
  <c r="S20" i="2"/>
  <c r="R5" i="2"/>
  <c r="P5" i="2"/>
  <c r="I14" i="1"/>
  <c r="C1" i="1"/>
  <c r="A7" i="2"/>
  <c r="I10" i="1"/>
  <c r="J10" i="1"/>
  <c r="L10" i="1"/>
  <c r="I19" i="1"/>
  <c r="B2" i="1"/>
  <c r="J16" i="1"/>
  <c r="J17" i="1"/>
  <c r="J18" i="1"/>
  <c r="I15" i="1"/>
  <c r="I16" i="1"/>
  <c r="I17" i="1"/>
  <c r="I18" i="1"/>
  <c r="I12" i="1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4" i="2"/>
  <c r="E12" i="2"/>
  <c r="E11" i="2"/>
  <c r="E10" i="2"/>
  <c r="E9" i="2"/>
  <c r="E8" i="2"/>
  <c r="E6" i="2"/>
  <c r="E5" i="2"/>
  <c r="E4" i="2"/>
  <c r="E3" i="2"/>
  <c r="D25" i="2"/>
  <c r="D28" i="2"/>
  <c r="D31" i="2"/>
  <c r="A31" i="2"/>
  <c r="A4" i="2"/>
  <c r="D19" i="2"/>
  <c r="D16" i="2"/>
  <c r="D13" i="2"/>
  <c r="D10" i="2"/>
  <c r="D7" i="2"/>
  <c r="D4" i="2"/>
  <c r="D22" i="2"/>
  <c r="A28" i="2"/>
  <c r="A25" i="2"/>
  <c r="A22" i="2"/>
  <c r="A19" i="2"/>
  <c r="A10" i="2"/>
  <c r="A16" i="2"/>
  <c r="I13" i="1"/>
  <c r="A13" i="2"/>
  <c r="I11" i="1"/>
  <c r="J14" i="1"/>
  <c r="J13" i="1"/>
  <c r="J12" i="1"/>
  <c r="J11" i="1"/>
  <c r="J15" i="1"/>
  <c r="M4" i="2"/>
  <c r="J19" i="1"/>
  <c r="C5" i="2"/>
  <c r="C4" i="2"/>
  <c r="C3" i="2"/>
  <c r="K10" i="1"/>
  <c r="K18" i="1"/>
  <c r="L18" i="1"/>
  <c r="L17" i="1"/>
  <c r="K17" i="1"/>
  <c r="K16" i="1"/>
  <c r="B22" i="2"/>
  <c r="K19" i="1"/>
  <c r="L19" i="1"/>
  <c r="B5" i="2"/>
  <c r="K15" i="1"/>
  <c r="K13" i="1"/>
  <c r="L13" i="1"/>
  <c r="L11" i="1"/>
  <c r="L12" i="1"/>
  <c r="B4" i="2"/>
  <c r="K12" i="1"/>
  <c r="B3" i="2"/>
  <c r="K14" i="1"/>
  <c r="K11" i="1"/>
  <c r="L16" i="1"/>
  <c r="L14" i="1"/>
  <c r="L15" i="1"/>
  <c r="B23" i="2"/>
  <c r="B21" i="2"/>
  <c r="C27" i="2"/>
  <c r="C28" i="2"/>
  <c r="C29" i="2"/>
  <c r="B28" i="2"/>
  <c r="B29" i="2"/>
  <c r="B27" i="2"/>
  <c r="B26" i="2"/>
  <c r="B24" i="2"/>
  <c r="B25" i="2"/>
  <c r="C26" i="2"/>
  <c r="C25" i="2"/>
  <c r="C24" i="2"/>
  <c r="C32" i="2"/>
  <c r="C30" i="2"/>
  <c r="C31" i="2"/>
  <c r="B32" i="2"/>
  <c r="B31" i="2"/>
  <c r="B30" i="2"/>
  <c r="B11" i="2"/>
  <c r="B10" i="2"/>
  <c r="B9" i="2"/>
  <c r="C13" i="2"/>
  <c r="C12" i="2"/>
  <c r="C14" i="2"/>
  <c r="C21" i="2"/>
  <c r="C22" i="2"/>
  <c r="C23" i="2"/>
  <c r="B7" i="2"/>
  <c r="B6" i="2"/>
  <c r="B8" i="2"/>
  <c r="B14" i="2"/>
  <c r="B12" i="2"/>
  <c r="B13" i="2"/>
  <c r="C19" i="2"/>
  <c r="C18" i="2"/>
  <c r="C20" i="2"/>
  <c r="B16" i="2"/>
  <c r="B15" i="2"/>
  <c r="B17" i="2"/>
  <c r="C11" i="2"/>
  <c r="C10" i="2"/>
  <c r="C9" i="2"/>
  <c r="B20" i="2"/>
  <c r="B18" i="2"/>
  <c r="B19" i="2"/>
  <c r="C17" i="2"/>
  <c r="C16" i="2"/>
  <c r="C15" i="2"/>
  <c r="C7" i="2"/>
  <c r="C8" i="2"/>
  <c r="C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Stephen Hinde</author>
    <author>A satisfied Microsoft Office user</author>
  </authors>
  <commentList>
    <comment ref="B1" authorId="0" shapeId="0" xr:uid="{00000000-0006-0000-0000-000001000000}">
      <text>
        <r>
          <rPr>
            <b/>
            <sz val="10"/>
            <color rgb="FF000000"/>
            <rFont val="Tahoma"/>
            <family val="2"/>
          </rPr>
          <t>Stephen Hinde: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Nominal ACP distance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eg 200, 300, 400, 600</t>
        </r>
      </text>
    </comment>
    <comment ref="B2" authorId="1" shapeId="0" xr:uid="{00000000-0006-0000-0000-000002000000}">
      <text>
        <r>
          <rPr>
            <sz val="8"/>
            <color rgb="FF000000"/>
            <rFont val="Tahoma"/>
            <family val="2"/>
          </rPr>
          <t>Partial result of closing time calculation to avoid limitation of only 7 nested functions</t>
        </r>
      </text>
    </comment>
    <comment ref="B4" authorId="0" shapeId="0" xr:uid="{00000000-0006-0000-0000-000003000000}">
      <text>
        <r>
          <rPr>
            <b/>
            <sz val="10"/>
            <color rgb="FF000000"/>
            <rFont val="Tahoma"/>
            <family val="2"/>
          </rPr>
          <t>Stephen Hinde: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On event page</t>
        </r>
      </text>
    </comment>
    <comment ref="B5" authorId="0" shapeId="0" xr:uid="{00000000-0006-0000-0000-000004000000}">
      <text>
        <r>
          <rPr>
            <b/>
            <sz val="10"/>
            <color rgb="FF000000"/>
            <rFont val="Tahoma"/>
            <family val="2"/>
          </rPr>
          <t>Stephen Hinde: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Official ACP date</t>
        </r>
      </text>
    </comment>
    <comment ref="B7" authorId="0" shapeId="0" xr:uid="{00000000-0006-0000-0000-000005000000}">
      <text>
        <r>
          <rPr>
            <b/>
            <sz val="10"/>
            <color rgb="FF000000"/>
            <rFont val="Tahoma"/>
            <family val="2"/>
          </rPr>
          <t>Stephen Hinde: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Actual date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Recommend using Schedule date</t>
        </r>
      </text>
    </comment>
  </commentList>
</comments>
</file>

<file path=xl/sharedStrings.xml><?xml version="1.0" encoding="utf-8"?>
<sst xmlns="http://schemas.openxmlformats.org/spreadsheetml/2006/main" count="130" uniqueCount="92">
  <si>
    <t>Start time</t>
  </si>
  <si>
    <t>Finish time</t>
  </si>
  <si>
    <t>Elapsed time</t>
  </si>
  <si>
    <t>Open</t>
  </si>
  <si>
    <t>Close</t>
  </si>
  <si>
    <t>Open time</t>
  </si>
  <si>
    <t>Close time</t>
  </si>
  <si>
    <t>Control 1</t>
  </si>
  <si>
    <t>Control 2</t>
  </si>
  <si>
    <t>Control 3</t>
  </si>
  <si>
    <t>Control 4</t>
  </si>
  <si>
    <t>Control 5</t>
  </si>
  <si>
    <t>Control 6</t>
  </si>
  <si>
    <t>Control 7</t>
  </si>
  <si>
    <t>Control 8</t>
  </si>
  <si>
    <t>Control 9</t>
  </si>
  <si>
    <t>Control 10</t>
  </si>
  <si>
    <t>Rider's signature at completion</t>
  </si>
  <si>
    <t>Brevet Length:</t>
  </si>
  <si>
    <t>Maximum Time:</t>
  </si>
  <si>
    <t>Brevet Description:</t>
  </si>
  <si>
    <t>Brevet Number:</t>
  </si>
  <si>
    <t>Start Date:</t>
  </si>
  <si>
    <t>Start Time:</t>
  </si>
  <si>
    <t>Control</t>
  </si>
  <si>
    <t>Distance</t>
  </si>
  <si>
    <t>Locale</t>
  </si>
  <si>
    <t>Establishment 1</t>
  </si>
  <si>
    <t>Establishment 2</t>
  </si>
  <si>
    <t>Establishment 3</t>
  </si>
  <si>
    <t>|</t>
  </si>
  <si>
    <t>DIST (km)</t>
  </si>
  <si>
    <t>Establishment</t>
  </si>
  <si>
    <t>Time of Passage</t>
  </si>
  <si>
    <t>Control Card</t>
  </si>
  <si>
    <t>Name</t>
  </si>
  <si>
    <t>Address</t>
  </si>
  <si>
    <t>City</t>
  </si>
  <si>
    <t>Province/State</t>
  </si>
  <si>
    <t>Country</t>
  </si>
  <si>
    <t>Postal Code</t>
  </si>
  <si>
    <t>Telephone</t>
  </si>
  <si>
    <t>email</t>
  </si>
  <si>
    <t>Randonneur Committee Authorization</t>
  </si>
  <si>
    <t>Report results or abandonment through registration email link</t>
  </si>
  <si>
    <r>
      <t xml:space="preserve">Please </t>
    </r>
    <r>
      <rPr>
        <b/>
        <i/>
        <sz val="16"/>
        <rFont val="Arial"/>
        <family val="2"/>
      </rPr>
      <t>answer questions</t>
    </r>
    <r>
      <rPr>
        <i/>
        <sz val="16"/>
        <rFont val="Arial"/>
        <family val="2"/>
      </rPr>
      <t xml:space="preserve"> and</t>
    </r>
    <r>
      <rPr>
        <b/>
        <i/>
        <sz val="16"/>
        <rFont val="Arial"/>
        <family val="2"/>
      </rPr>
      <t xml:space="preserve"> note time of day</t>
    </r>
  </si>
  <si>
    <t>Start Date</t>
  </si>
  <si>
    <t>Finish Date</t>
  </si>
  <si>
    <t>Member #</t>
  </si>
  <si>
    <t xml:space="preserve">Brevet No. </t>
  </si>
  <si>
    <t>Schedule date:</t>
  </si>
  <si>
    <t>Single</t>
  </si>
  <si>
    <t>Tandem</t>
  </si>
  <si>
    <t>Fixed</t>
  </si>
  <si>
    <t>Recumbent</t>
  </si>
  <si>
    <t>Velomobile</t>
  </si>
  <si>
    <t>(only add if change needed to database)</t>
  </si>
  <si>
    <t>Founding member of LES RANDONNEURS MONDIAUX (1983)</t>
  </si>
  <si>
    <t>Bicycle Type
Circle one</t>
  </si>
  <si>
    <t>-------&gt;</t>
  </si>
  <si>
    <t>Ride Day Emergency Contact</t>
  </si>
  <si>
    <t>Signature/Answer</t>
  </si>
  <si>
    <t>Buccaneer Sanctuary Café</t>
  </si>
  <si>
    <t>Richmond</t>
  </si>
  <si>
    <t>Sanctuary Café</t>
  </si>
  <si>
    <t>160-13020 No. 2 Road</t>
  </si>
  <si>
    <t>Delta</t>
  </si>
  <si>
    <t>Ocean Park</t>
  </si>
  <si>
    <t>Fort Langley</t>
  </si>
  <si>
    <t>Esso/Tim Hortons</t>
  </si>
  <si>
    <t>________________________Corner</t>
  </si>
  <si>
    <t>Bike path @Hwy 17</t>
  </si>
  <si>
    <t>Full __________   ____________</t>
  </si>
  <si>
    <t>Delitalia Fine Foods</t>
  </si>
  <si>
    <t>True Aromatherapy Products</t>
  </si>
  <si>
    <t>__________________________</t>
  </si>
  <si>
    <t>Sign on window</t>
  </si>
  <si>
    <t>Coffee Cycle _________?</t>
  </si>
  <si>
    <t xml:space="preserve">Blue tag on fire hydrant. 
What are the two letters </t>
  </si>
  <si>
    <t>on the blue tag? (Ignore the digits)</t>
  </si>
  <si>
    <t>Plaque 20ft right of front door
Name of historical site?</t>
  </si>
  <si>
    <t>Glass panel left of door</t>
  </si>
  <si>
    <t>Max # of customers?</t>
  </si>
  <si>
    <t>Surrey</t>
  </si>
  <si>
    <t>Before barrier @ 16 Ave and 164 St</t>
  </si>
  <si>
    <t>White gate to driveway
 to left of barrier</t>
  </si>
  <si>
    <t>1629A 128 St</t>
  </si>
  <si>
    <t>Plaque LEFT side of front door
First name of Coulter's wife?</t>
  </si>
  <si>
    <t># of round reflectors on gate?</t>
  </si>
  <si>
    <t>Lower right sticker on back of 
bike path sign. Last two words?</t>
  </si>
  <si>
    <t xml:space="preserve">Glover and Mavis. 
</t>
  </si>
  <si>
    <t>SE Corner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</si>
</sst>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/mmm/yy\ hh:mm\ AM/PM"/>
    <numFmt numFmtId="165" formatCode="d/mmm/yy"/>
    <numFmt numFmtId="166" formatCode="dddd"/>
    <numFmt numFmtId="167" formatCode="0.0"/>
    <numFmt numFmtId="168" formatCode="mmmm\ d\,\ yyyy"/>
    <numFmt numFmtId="169" formatCode="[&lt;=9999999]###\-####;\(###\)\ ###\-####"/>
  </numFmts>
  <fonts count="31" x14ac:knownFonts="1">
    <font>
      <sz val="10"/>
      <name val="Arial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20"/>
      <name val="Arial"/>
      <family val="2"/>
    </font>
    <font>
      <sz val="36"/>
      <name val="Arial"/>
      <family val="2"/>
    </font>
    <font>
      <sz val="16"/>
      <name val="Arial"/>
      <family val="2"/>
    </font>
    <font>
      <i/>
      <sz val="14"/>
      <name val="Arial"/>
      <family val="2"/>
    </font>
    <font>
      <sz val="18"/>
      <name val="Arial"/>
      <family val="2"/>
    </font>
    <font>
      <sz val="14"/>
      <name val="Arial Narrow"/>
      <family val="2"/>
    </font>
    <font>
      <b/>
      <sz val="14"/>
      <name val="Arial Narrow"/>
      <family val="2"/>
    </font>
    <font>
      <b/>
      <sz val="16"/>
      <name val="Arial Narrow"/>
      <family val="2"/>
    </font>
    <font>
      <sz val="8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6"/>
      <name val="Arial"/>
      <family val="2"/>
    </font>
    <font>
      <sz val="8"/>
      <color rgb="FF000000"/>
      <name val="Tahoma"/>
      <family val="2"/>
    </font>
    <font>
      <i/>
      <sz val="16"/>
      <name val="Arial"/>
      <family val="2"/>
    </font>
    <font>
      <b/>
      <i/>
      <sz val="16"/>
      <name val="Arial"/>
      <family val="2"/>
    </font>
    <font>
      <sz val="16"/>
      <name val="Arial Narrow"/>
      <family val="2"/>
    </font>
    <font>
      <sz val="20"/>
      <color theme="0" tint="-0.14999847407452621"/>
      <name val="Impact"/>
      <family val="2"/>
    </font>
    <font>
      <sz val="14"/>
      <color rgb="FF000000"/>
      <name val="Helvetica"/>
      <family val="2"/>
    </font>
    <font>
      <sz val="11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b/>
      <sz val="14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94">
    <xf numFmtId="0" fontId="0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6" fillId="0" borderId="0"/>
    <xf numFmtId="0" fontId="4" fillId="0" borderId="0"/>
    <xf numFmtId="0" fontId="5" fillId="0" borderId="0"/>
    <xf numFmtId="0" fontId="3" fillId="0" borderId="0"/>
    <xf numFmtId="0" fontId="2" fillId="0" borderId="0"/>
    <xf numFmtId="0" fontId="1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133">
    <xf numFmtId="0" fontId="0" fillId="0" borderId="0" xfId="0"/>
    <xf numFmtId="0" fontId="0" fillId="0" borderId="16" xfId="0" applyBorder="1"/>
    <xf numFmtId="0" fontId="0" fillId="0" borderId="0" xfId="0" applyAlignment="1">
      <alignment horizontal="right"/>
    </xf>
    <xf numFmtId="0" fontId="0" fillId="0" borderId="5" xfId="0" applyBorder="1" applyAlignment="1">
      <alignment horizontal="centerContinuous"/>
    </xf>
    <xf numFmtId="0" fontId="0" fillId="0" borderId="0" xfId="0" applyProtection="1">
      <protection hidden="1"/>
    </xf>
    <xf numFmtId="164" fontId="0" fillId="0" borderId="0" xfId="0" applyNumberFormat="1" applyBorder="1"/>
    <xf numFmtId="164" fontId="0" fillId="0" borderId="0" xfId="0" applyNumberFormat="1" applyBorder="1" applyAlignment="1">
      <alignment horizontal="center" vertical="center" wrapText="1"/>
    </xf>
    <xf numFmtId="0" fontId="0" fillId="2" borderId="11" xfId="0" applyFill="1" applyBorder="1"/>
    <xf numFmtId="0" fontId="0" fillId="2" borderId="12" xfId="0" applyFill="1" applyBorder="1"/>
    <xf numFmtId="0" fontId="0" fillId="2" borderId="10" xfId="0" applyFill="1" applyBorder="1"/>
    <xf numFmtId="0" fontId="7" fillId="2" borderId="15" xfId="0" applyFont="1" applyFill="1" applyBorder="1" applyAlignment="1">
      <alignment horizontal="center" wrapText="1"/>
    </xf>
    <xf numFmtId="0" fontId="7" fillId="2" borderId="15" xfId="0" applyFont="1" applyFill="1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7" xfId="0" applyFont="1" applyBorder="1"/>
    <xf numFmtId="0" fontId="7" fillId="0" borderId="8" xfId="0" applyFont="1" applyBorder="1"/>
    <xf numFmtId="0" fontId="0" fillId="2" borderId="7" xfId="0" applyFill="1" applyBorder="1" applyAlignment="1">
      <alignment horizontal="right"/>
    </xf>
    <xf numFmtId="20" fontId="0" fillId="0" borderId="8" xfId="0" applyNumberFormat="1" applyBorder="1" applyProtection="1">
      <protection locked="0"/>
    </xf>
    <xf numFmtId="0" fontId="0" fillId="2" borderId="1" xfId="0" applyFill="1" applyBorder="1" applyAlignment="1">
      <alignment horizontal="right"/>
    </xf>
    <xf numFmtId="0" fontId="0" fillId="0" borderId="2" xfId="0" applyBorder="1" applyProtection="1">
      <protection locked="0"/>
    </xf>
    <xf numFmtId="0" fontId="0" fillId="2" borderId="3" xfId="0" applyFill="1" applyBorder="1" applyAlignment="1">
      <alignment horizontal="right"/>
    </xf>
    <xf numFmtId="0" fontId="0" fillId="2" borderId="4" xfId="0" applyFill="1" applyBorder="1"/>
    <xf numFmtId="15" fontId="0" fillId="0" borderId="4" xfId="0" applyNumberFormat="1" applyBorder="1" applyProtection="1">
      <protection locked="0"/>
    </xf>
    <xf numFmtId="0" fontId="0" fillId="0" borderId="0" xfId="0" applyAlignment="1">
      <alignment vertical="top" textRotation="90"/>
    </xf>
    <xf numFmtId="0" fontId="10" fillId="0" borderId="0" xfId="0" applyFont="1"/>
    <xf numFmtId="0" fontId="0" fillId="0" borderId="18" xfId="0" applyBorder="1"/>
    <xf numFmtId="0" fontId="0" fillId="0" borderId="19" xfId="0" applyBorder="1"/>
    <xf numFmtId="0" fontId="0" fillId="0" borderId="6" xfId="0" applyBorder="1"/>
    <xf numFmtId="0" fontId="10" fillId="0" borderId="18" xfId="0" applyFont="1" applyBorder="1" applyProtection="1">
      <protection locked="0"/>
    </xf>
    <xf numFmtId="0" fontId="0" fillId="0" borderId="18" xfId="0" applyBorder="1" applyProtection="1">
      <protection locked="0"/>
    </xf>
    <xf numFmtId="0" fontId="10" fillId="0" borderId="18" xfId="0" applyFont="1" applyBorder="1" applyProtection="1"/>
    <xf numFmtId="0" fontId="10" fillId="0" borderId="0" xfId="0" applyFont="1" applyProtection="1"/>
    <xf numFmtId="0" fontId="0" fillId="0" borderId="0" xfId="0" applyProtection="1"/>
    <xf numFmtId="0" fontId="0" fillId="0" borderId="18" xfId="0" applyBorder="1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0" xfId="0" applyBorder="1" applyProtection="1"/>
    <xf numFmtId="0" fontId="0" fillId="0" borderId="17" xfId="0" applyBorder="1" applyProtection="1"/>
    <xf numFmtId="0" fontId="0" fillId="0" borderId="8" xfId="0" applyBorder="1" applyProtection="1"/>
    <xf numFmtId="0" fontId="0" fillId="0" borderId="0" xfId="0" applyBorder="1" applyAlignment="1" applyProtection="1">
      <alignment horizontal="centerContinuous"/>
      <protection hidden="1"/>
    </xf>
    <xf numFmtId="0" fontId="0" fillId="0" borderId="0" xfId="0" applyBorder="1" applyAlignment="1">
      <alignment horizontal="centerContinuous"/>
    </xf>
    <xf numFmtId="167" fontId="0" fillId="0" borderId="13" xfId="0" applyNumberFormat="1" applyBorder="1" applyProtection="1">
      <protection locked="0"/>
    </xf>
    <xf numFmtId="0" fontId="0" fillId="0" borderId="0" xfId="0" applyBorder="1" applyAlignment="1">
      <alignment horizontal="center"/>
    </xf>
    <xf numFmtId="0" fontId="0" fillId="0" borderId="0" xfId="0" applyBorder="1"/>
    <xf numFmtId="0" fontId="8" fillId="0" borderId="18" xfId="0" applyFont="1" applyBorder="1" applyProtection="1"/>
    <xf numFmtId="0" fontId="12" fillId="0" borderId="18" xfId="0" applyFont="1" applyBorder="1" applyProtection="1"/>
    <xf numFmtId="167" fontId="13" fillId="0" borderId="16" xfId="0" applyNumberFormat="1" applyFont="1" applyBorder="1" applyAlignment="1">
      <alignment horizontal="center" wrapText="1"/>
    </xf>
    <xf numFmtId="166" fontId="13" fillId="0" borderId="16" xfId="0" applyNumberFormat="1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167" fontId="13" fillId="0" borderId="7" xfId="0" applyNumberFormat="1" applyFont="1" applyBorder="1"/>
    <xf numFmtId="165" fontId="13" fillId="0" borderId="7" xfId="0" applyNumberFormat="1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/>
    </xf>
    <xf numFmtId="167" fontId="15" fillId="0" borderId="16" xfId="0" applyNumberFormat="1" applyFont="1" applyBorder="1" applyAlignment="1">
      <alignment horizontal="center" vertical="center"/>
    </xf>
    <xf numFmtId="18" fontId="15" fillId="0" borderId="16" xfId="0" applyNumberFormat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167" fontId="12" fillId="0" borderId="0" xfId="0" applyNumberFormat="1" applyFont="1" applyAlignment="1">
      <alignment vertical="top"/>
    </xf>
    <xf numFmtId="49" fontId="5" fillId="0" borderId="14" xfId="0" applyNumberFormat="1" applyFont="1" applyBorder="1" applyAlignment="1" applyProtection="1">
      <alignment horizontal="center"/>
      <protection locked="0"/>
    </xf>
    <xf numFmtId="49" fontId="5" fillId="0" borderId="4" xfId="0" applyNumberFormat="1" applyFont="1" applyBorder="1" applyAlignment="1" applyProtection="1">
      <alignment horizontal="center"/>
      <protection locked="0"/>
    </xf>
    <xf numFmtId="0" fontId="5" fillId="0" borderId="14" xfId="0" applyFont="1" applyBorder="1" applyProtection="1">
      <protection locked="0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justify"/>
    </xf>
    <xf numFmtId="0" fontId="10" fillId="0" borderId="0" xfId="0" applyFont="1" applyBorder="1" applyAlignment="1" applyProtection="1">
      <alignment horizontal="right"/>
    </xf>
    <xf numFmtId="0" fontId="0" fillId="2" borderId="25" xfId="0" applyFill="1" applyBorder="1" applyAlignment="1">
      <alignment horizontal="right"/>
    </xf>
    <xf numFmtId="15" fontId="0" fillId="0" borderId="23" xfId="0" applyNumberFormat="1" applyBorder="1" applyProtection="1">
      <protection locked="0"/>
    </xf>
    <xf numFmtId="0" fontId="10" fillId="0" borderId="5" xfId="0" applyFont="1" applyBorder="1" applyProtection="1"/>
    <xf numFmtId="0" fontId="10" fillId="0" borderId="0" xfId="0" applyFont="1" applyBorder="1" applyAlignment="1" applyProtection="1">
      <alignment horizontal="left"/>
    </xf>
    <xf numFmtId="0" fontId="10" fillId="0" borderId="0" xfId="0" applyFont="1" applyAlignment="1" applyProtection="1"/>
    <xf numFmtId="0" fontId="5" fillId="2" borderId="3" xfId="0" applyFont="1" applyFill="1" applyBorder="1" applyAlignment="1">
      <alignment horizontal="right"/>
    </xf>
    <xf numFmtId="168" fontId="10" fillId="0" borderId="0" xfId="0" applyNumberFormat="1" applyFont="1" applyBorder="1" applyAlignment="1">
      <alignment horizontal="center"/>
    </xf>
    <xf numFmtId="0" fontId="10" fillId="0" borderId="0" xfId="0" quotePrefix="1" applyFont="1" applyAlignment="1">
      <alignment horizontal="right" vertical="center"/>
    </xf>
    <xf numFmtId="0" fontId="10" fillId="0" borderId="0" xfId="0" applyFont="1" applyAlignment="1">
      <alignment vertical="center"/>
    </xf>
    <xf numFmtId="1" fontId="0" fillId="0" borderId="4" xfId="0" applyNumberFormat="1" applyBorder="1" applyProtection="1">
      <protection locked="0"/>
    </xf>
    <xf numFmtId="167" fontId="0" fillId="0" borderId="26" xfId="0" applyNumberFormat="1" applyBorder="1" applyProtection="1">
      <protection locked="0"/>
    </xf>
    <xf numFmtId="0" fontId="5" fillId="0" borderId="27" xfId="0" applyFont="1" applyBorder="1" applyProtection="1">
      <protection locked="0"/>
    </xf>
    <xf numFmtId="49" fontId="5" fillId="0" borderId="27" xfId="0" applyNumberFormat="1" applyFont="1" applyBorder="1" applyAlignment="1" applyProtection="1">
      <alignment horizontal="center"/>
      <protection locked="0"/>
    </xf>
    <xf numFmtId="49" fontId="5" fillId="0" borderId="24" xfId="0" applyNumberFormat="1" applyFont="1" applyBorder="1" applyAlignment="1" applyProtection="1">
      <alignment horizontal="center"/>
      <protection locked="0"/>
    </xf>
    <xf numFmtId="0" fontId="24" fillId="0" borderId="18" xfId="0" applyFont="1" applyBorder="1" applyProtection="1"/>
    <xf numFmtId="0" fontId="10" fillId="0" borderId="22" xfId="0" applyFont="1" applyBorder="1"/>
    <xf numFmtId="0" fontId="14" fillId="0" borderId="16" xfId="0" applyFont="1" applyBorder="1" applyAlignment="1">
      <alignment horizontal="center" vertical="top" wrapText="1"/>
    </xf>
    <xf numFmtId="0" fontId="25" fillId="0" borderId="0" xfId="0" applyFont="1"/>
    <xf numFmtId="0" fontId="7" fillId="0" borderId="17" xfId="0" applyFont="1" applyBorder="1" applyAlignment="1">
      <alignment horizontal="center" vertical="center"/>
    </xf>
    <xf numFmtId="0" fontId="6" fillId="0" borderId="0" xfId="0" applyFont="1" applyBorder="1" applyAlignment="1" applyProtection="1">
      <alignment wrapText="1"/>
    </xf>
    <xf numFmtId="0" fontId="10" fillId="0" borderId="0" xfId="0" applyFont="1" applyBorder="1"/>
    <xf numFmtId="0" fontId="10" fillId="0" borderId="0" xfId="0" applyFont="1" applyBorder="1" applyProtection="1"/>
    <xf numFmtId="0" fontId="7" fillId="0" borderId="17" xfId="0" applyFont="1" applyBorder="1" applyAlignment="1">
      <alignment horizontal="center" vertical="top"/>
    </xf>
    <xf numFmtId="0" fontId="25" fillId="0" borderId="0" xfId="0" applyFont="1" applyAlignment="1">
      <alignment horizontal="center" vertical="top"/>
    </xf>
    <xf numFmtId="168" fontId="10" fillId="0" borderId="0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7" fillId="0" borderId="18" xfId="0" applyFont="1" applyFill="1" applyBorder="1" applyAlignment="1">
      <alignment horizontal="center" wrapText="1"/>
    </xf>
    <xf numFmtId="169" fontId="7" fillId="0" borderId="18" xfId="0" applyNumberFormat="1" applyFont="1" applyFill="1" applyBorder="1" applyAlignment="1">
      <alignment horizontal="left" wrapText="1"/>
    </xf>
    <xf numFmtId="168" fontId="10" fillId="0" borderId="18" xfId="0" applyNumberFormat="1" applyFont="1" applyBorder="1" applyAlignment="1">
      <alignment horizontal="center"/>
    </xf>
    <xf numFmtId="18" fontId="23" fillId="0" borderId="0" xfId="0" applyNumberFormat="1" applyFont="1" applyBorder="1" applyAlignment="1">
      <alignment horizontal="center" wrapText="1"/>
    </xf>
    <xf numFmtId="0" fontId="0" fillId="0" borderId="18" xfId="0" applyBorder="1" applyAlignment="1" applyProtection="1">
      <alignment horizontal="left"/>
    </xf>
    <xf numFmtId="169" fontId="12" fillId="0" borderId="18" xfId="0" applyNumberFormat="1" applyFont="1" applyBorder="1" applyAlignment="1" applyProtection="1">
      <alignment horizontal="center"/>
    </xf>
    <xf numFmtId="169" fontId="10" fillId="0" borderId="18" xfId="0" applyNumberFormat="1" applyFont="1" applyBorder="1" applyAlignment="1" applyProtection="1">
      <alignment horizontal="center"/>
    </xf>
    <xf numFmtId="0" fontId="10" fillId="0" borderId="0" xfId="0" applyNumberFormat="1" applyFont="1" applyBorder="1" applyAlignment="1" applyProtection="1">
      <alignment horizontal="left" vertical="center"/>
    </xf>
    <xf numFmtId="169" fontId="10" fillId="0" borderId="0" xfId="0" applyNumberFormat="1" applyFont="1" applyBorder="1" applyAlignment="1" applyProtection="1">
      <alignment horizontal="left" vertical="center"/>
    </xf>
    <xf numFmtId="0" fontId="0" fillId="0" borderId="5" xfId="0" applyFont="1" applyBorder="1" applyAlignment="1">
      <alignment horizontal="left"/>
    </xf>
    <xf numFmtId="0" fontId="0" fillId="0" borderId="14" xfId="0" applyFont="1" applyBorder="1" applyProtection="1">
      <protection locked="0"/>
    </xf>
    <xf numFmtId="49" fontId="0" fillId="0" borderId="14" xfId="0" applyNumberFormat="1" applyFont="1" applyBorder="1" applyAlignment="1" applyProtection="1">
      <alignment horizontal="center"/>
      <protection locked="0"/>
    </xf>
    <xf numFmtId="49" fontId="0" fillId="0" borderId="4" xfId="0" quotePrefix="1" applyNumberFormat="1" applyFont="1" applyBorder="1" applyAlignment="1" applyProtection="1">
      <alignment horizontal="center"/>
      <protection locked="0"/>
    </xf>
    <xf numFmtId="0" fontId="29" fillId="0" borderId="17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top" wrapText="1"/>
    </xf>
    <xf numFmtId="0" fontId="29" fillId="0" borderId="17" xfId="0" applyFont="1" applyBorder="1" applyAlignment="1">
      <alignment horizontal="center" vertical="center" wrapText="1"/>
    </xf>
    <xf numFmtId="0" fontId="0" fillId="2" borderId="9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0" fillId="0" borderId="18" xfId="0" applyFont="1" applyBorder="1"/>
    <xf numFmtId="0" fontId="6" fillId="0" borderId="0" xfId="0" applyFont="1" applyBorder="1" applyAlignment="1" applyProtection="1">
      <alignment horizont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6" fillId="0" borderId="0" xfId="0" applyFont="1" applyBorder="1" applyAlignment="1" applyProtection="1">
      <alignment horizontal="center" vertical="top" wrapText="1"/>
    </xf>
    <xf numFmtId="168" fontId="10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top"/>
    </xf>
    <xf numFmtId="0" fontId="10" fillId="0" borderId="18" xfId="0" applyFont="1" applyBorder="1" applyAlignment="1" applyProtection="1">
      <alignment horizontal="left"/>
    </xf>
    <xf numFmtId="0" fontId="21" fillId="0" borderId="18" xfId="0" applyFont="1" applyBorder="1" applyAlignment="1">
      <alignment horizontal="center" vertical="center"/>
    </xf>
    <xf numFmtId="167" fontId="12" fillId="0" borderId="2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 applyProtection="1">
      <alignment horizontal="right" vertical="center"/>
    </xf>
    <xf numFmtId="0" fontId="6" fillId="0" borderId="20" xfId="0" applyFont="1" applyBorder="1" applyAlignment="1">
      <alignment horizontal="center" vertical="top"/>
    </xf>
    <xf numFmtId="18" fontId="23" fillId="0" borderId="18" xfId="0" applyNumberFormat="1" applyFont="1" applyBorder="1" applyAlignment="1">
      <alignment horizontal="center" wrapText="1"/>
    </xf>
    <xf numFmtId="0" fontId="19" fillId="0" borderId="0" xfId="0" applyFont="1" applyAlignment="1">
      <alignment horizontal="center"/>
    </xf>
    <xf numFmtId="49" fontId="5" fillId="0" borderId="14" xfId="0" applyNumberFormat="1" applyFont="1" applyBorder="1" applyAlignment="1" applyProtection="1">
      <alignment horizontal="center" wrapText="1"/>
      <protection locked="0"/>
    </xf>
    <xf numFmtId="49" fontId="0" fillId="0" borderId="4" xfId="0" applyNumberFormat="1" applyFont="1" applyBorder="1" applyAlignment="1" applyProtection="1">
      <alignment horizontal="center" vertical="top"/>
      <protection locked="0"/>
    </xf>
  </cellXfs>
  <cellStyles count="294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Followed Hyperlink" xfId="94" builtinId="9" hidden="1"/>
    <cellStyle name="Followed Hyperlink" xfId="95" builtinId="9" hidden="1"/>
    <cellStyle name="Followed Hyperlink" xfId="96" builtinId="9" hidden="1"/>
    <cellStyle name="Followed Hyperlink" xfId="97" builtinId="9" hidden="1"/>
    <cellStyle name="Followed Hyperlink" xfId="98" builtinId="9" hidden="1"/>
    <cellStyle name="Followed Hyperlink" xfId="99" builtinId="9" hidden="1"/>
    <cellStyle name="Followed Hyperlink" xfId="100" builtinId="9" hidden="1"/>
    <cellStyle name="Followed Hyperlink" xfId="101" builtinId="9" hidden="1"/>
    <cellStyle name="Followed Hyperlink" xfId="102" builtinId="9" hidden="1"/>
    <cellStyle name="Followed Hyperlink" xfId="103" builtinId="9" hidden="1"/>
    <cellStyle name="Followed Hyperlink" xfId="104" builtinId="9" hidden="1"/>
    <cellStyle name="Followed Hyperlink" xfId="105" builtinId="9" hidden="1"/>
    <cellStyle name="Followed Hyperlink" xfId="106" builtinId="9" hidden="1"/>
    <cellStyle name="Followed Hyperlink" xfId="107" builtinId="9" hidden="1"/>
    <cellStyle name="Followed Hyperlink" xfId="108" builtinId="9" hidden="1"/>
    <cellStyle name="Followed Hyperlink" xfId="109" builtinId="9" hidden="1"/>
    <cellStyle name="Followed Hyperlink" xfId="110" builtinId="9" hidden="1"/>
    <cellStyle name="Followed Hyperlink" xfId="111" builtinId="9" hidden="1"/>
    <cellStyle name="Followed Hyperlink" xfId="112" builtinId="9" hidden="1"/>
    <cellStyle name="Followed Hyperlink" xfId="113" builtinId="9" hidden="1"/>
    <cellStyle name="Followed Hyperlink" xfId="114" builtinId="9" hidden="1"/>
    <cellStyle name="Followed Hyperlink" xfId="115" builtinId="9" hidden="1"/>
    <cellStyle name="Followed Hyperlink" xfId="116" builtinId="9" hidden="1"/>
    <cellStyle name="Followed Hyperlink" xfId="117" builtinId="9" hidden="1"/>
    <cellStyle name="Followed Hyperlink" xfId="118" builtinId="9" hidden="1"/>
    <cellStyle name="Followed Hyperlink" xfId="119" builtinId="9" hidden="1"/>
    <cellStyle name="Followed Hyperlink" xfId="120" builtinId="9" hidden="1"/>
    <cellStyle name="Followed Hyperlink" xfId="121" builtinId="9" hidden="1"/>
    <cellStyle name="Followed Hyperlink" xfId="122" builtinId="9" hidden="1"/>
    <cellStyle name="Followed Hyperlink" xfId="123" builtinId="9" hidden="1"/>
    <cellStyle name="Followed Hyperlink" xfId="124" builtinId="9" hidden="1"/>
    <cellStyle name="Followed Hyperlink" xfId="125" builtinId="9" hidden="1"/>
    <cellStyle name="Followed Hyperlink" xfId="126" builtinId="9" hidden="1"/>
    <cellStyle name="Followed Hyperlink" xfId="127" builtinId="9" hidden="1"/>
    <cellStyle name="Followed Hyperlink" xfId="128" builtinId="9" hidden="1"/>
    <cellStyle name="Followed Hyperlink" xfId="129" builtinId="9" hidden="1"/>
    <cellStyle name="Followed Hyperlink" xfId="130" builtinId="9" hidden="1"/>
    <cellStyle name="Followed Hyperlink" xfId="131" builtinId="9" hidden="1"/>
    <cellStyle name="Followed Hyperlink" xfId="132" builtinId="9" hidden="1"/>
    <cellStyle name="Followed Hyperlink" xfId="133" builtinId="9" hidden="1"/>
    <cellStyle name="Followed Hyperlink" xfId="134" builtinId="9" hidden="1"/>
    <cellStyle name="Followed Hyperlink" xfId="135" builtinId="9" hidden="1"/>
    <cellStyle name="Followed Hyperlink" xfId="136" builtinId="9" hidden="1"/>
    <cellStyle name="Followed Hyperlink" xfId="137" builtinId="9" hidden="1"/>
    <cellStyle name="Followed Hyperlink" xfId="138" builtinId="9" hidden="1"/>
    <cellStyle name="Followed Hyperlink" xfId="139" builtinId="9" hidden="1"/>
    <cellStyle name="Followed Hyperlink" xfId="140" builtinId="9" hidden="1"/>
    <cellStyle name="Followed Hyperlink" xfId="141" builtinId="9" hidden="1"/>
    <cellStyle name="Followed Hyperlink" xfId="142" builtinId="9" hidden="1"/>
    <cellStyle name="Followed Hyperlink" xfId="143" builtinId="9" hidden="1"/>
    <cellStyle name="Followed Hyperlink" xfId="144" builtinId="9" hidden="1"/>
    <cellStyle name="Followed Hyperlink" xfId="145" builtinId="9" hidden="1"/>
    <cellStyle name="Followed Hyperlink" xfId="146" builtinId="9" hidden="1"/>
    <cellStyle name="Followed Hyperlink" xfId="147" builtinId="9" hidden="1"/>
    <cellStyle name="Followed Hyperlink" xfId="148" builtinId="9" hidden="1"/>
    <cellStyle name="Followed Hyperlink" xfId="149" builtinId="9" hidden="1"/>
    <cellStyle name="Followed Hyperlink" xfId="150" builtinId="9" hidden="1"/>
    <cellStyle name="Followed Hyperlink" xfId="151" builtinId="9" hidden="1"/>
    <cellStyle name="Followed Hyperlink" xfId="152" builtinId="9" hidden="1"/>
    <cellStyle name="Followed Hyperlink" xfId="153" builtinId="9" hidden="1"/>
    <cellStyle name="Followed Hyperlink" xfId="154" builtinId="9" hidden="1"/>
    <cellStyle name="Followed Hyperlink" xfId="155" builtinId="9" hidden="1"/>
    <cellStyle name="Followed Hyperlink" xfId="156" builtinId="9" hidden="1"/>
    <cellStyle name="Followed Hyperlink" xfId="157" builtinId="9" hidden="1"/>
    <cellStyle name="Followed Hyperlink" xfId="158" builtinId="9" hidden="1"/>
    <cellStyle name="Followed Hyperlink" xfId="159" builtinId="9" hidden="1"/>
    <cellStyle name="Followed Hyperlink" xfId="160" builtinId="9" hidden="1"/>
    <cellStyle name="Followed Hyperlink" xfId="161" builtinId="9" hidden="1"/>
    <cellStyle name="Followed Hyperlink" xfId="162" builtinId="9" hidden="1"/>
    <cellStyle name="Followed Hyperlink" xfId="163" builtinId="9" hidden="1"/>
    <cellStyle name="Followed Hyperlink" xfId="164" builtinId="9" hidden="1"/>
    <cellStyle name="Followed Hyperlink" xfId="165" builtinId="9" hidden="1"/>
    <cellStyle name="Followed Hyperlink" xfId="166" builtinId="9" hidden="1"/>
    <cellStyle name="Followed Hyperlink" xfId="167" builtinId="9" hidden="1"/>
    <cellStyle name="Followed Hyperlink" xfId="168" builtinId="9" hidden="1"/>
    <cellStyle name="Followed Hyperlink" xfId="169" builtinId="9" hidden="1"/>
    <cellStyle name="Followed Hyperlink" xfId="170" builtinId="9" hidden="1"/>
    <cellStyle name="Followed Hyperlink" xfId="171" builtinId="9" hidden="1"/>
    <cellStyle name="Followed Hyperlink" xfId="172" builtinId="9" hidden="1"/>
    <cellStyle name="Followed Hyperlink" xfId="173" builtinId="9" hidden="1"/>
    <cellStyle name="Followed Hyperlink" xfId="174" builtinId="9" hidden="1"/>
    <cellStyle name="Followed Hyperlink" xfId="175" builtinId="9" hidden="1"/>
    <cellStyle name="Followed Hyperlink" xfId="176" builtinId="9" hidden="1"/>
    <cellStyle name="Followed Hyperlink" xfId="177" builtinId="9" hidden="1"/>
    <cellStyle name="Followed Hyperlink" xfId="178" builtinId="9" hidden="1"/>
    <cellStyle name="Followed Hyperlink" xfId="179" builtinId="9" hidden="1"/>
    <cellStyle name="Followed Hyperlink" xfId="180" builtinId="9" hidden="1"/>
    <cellStyle name="Followed Hyperlink" xfId="181" builtinId="9" hidden="1"/>
    <cellStyle name="Followed Hyperlink" xfId="182" builtinId="9" hidden="1"/>
    <cellStyle name="Followed Hyperlink" xfId="183" builtinId="9" hidden="1"/>
    <cellStyle name="Followed Hyperlink" xfId="184" builtinId="9" hidden="1"/>
    <cellStyle name="Followed Hyperlink" xfId="185" builtinId="9" hidden="1"/>
    <cellStyle name="Followed Hyperlink" xfId="186" builtinId="9" hidden="1"/>
    <cellStyle name="Followed Hyperlink" xfId="187" builtinId="9" hidden="1"/>
    <cellStyle name="Followed Hyperlink" xfId="188" builtinId="9" hidden="1"/>
    <cellStyle name="Followed Hyperlink" xfId="189" builtinId="9" hidden="1"/>
    <cellStyle name="Followed Hyperlink" xfId="190" builtinId="9" hidden="1"/>
    <cellStyle name="Followed Hyperlink" xfId="191" builtinId="9" hidden="1"/>
    <cellStyle name="Followed Hyperlink" xfId="192" builtinId="9" hidden="1"/>
    <cellStyle name="Followed Hyperlink" xfId="193" builtinId="9" hidden="1"/>
    <cellStyle name="Followed Hyperlink" xfId="194" builtinId="9" hidden="1"/>
    <cellStyle name="Followed Hyperlink" xfId="195" builtinId="9" hidden="1"/>
    <cellStyle name="Followed Hyperlink" xfId="196" builtinId="9" hidden="1"/>
    <cellStyle name="Followed Hyperlink" xfId="197" builtinId="9" hidden="1"/>
    <cellStyle name="Followed Hyperlink" xfId="198" builtinId="9" hidden="1"/>
    <cellStyle name="Followed Hyperlink" xfId="199" builtinId="9" hidden="1"/>
    <cellStyle name="Followed Hyperlink" xfId="200" builtinId="9" hidden="1"/>
    <cellStyle name="Followed Hyperlink" xfId="201" builtinId="9" hidden="1"/>
    <cellStyle name="Followed Hyperlink" xfId="202" builtinId="9" hidden="1"/>
    <cellStyle name="Followed Hyperlink" xfId="203" builtinId="9" hidden="1"/>
    <cellStyle name="Followed Hyperlink" xfId="204" builtinId="9" hidden="1"/>
    <cellStyle name="Followed Hyperlink" xfId="205" builtinId="9" hidden="1"/>
    <cellStyle name="Followed Hyperlink" xfId="206" builtinId="9" hidden="1"/>
    <cellStyle name="Followed Hyperlink" xfId="207" builtinId="9" hidden="1"/>
    <cellStyle name="Followed Hyperlink" xfId="208" builtinId="9" hidden="1"/>
    <cellStyle name="Followed Hyperlink" xfId="209" builtinId="9" hidden="1"/>
    <cellStyle name="Followed Hyperlink" xfId="210" builtinId="9" hidden="1"/>
    <cellStyle name="Followed Hyperlink" xfId="211" builtinId="9" hidden="1"/>
    <cellStyle name="Followed Hyperlink" xfId="212" builtinId="9" hidden="1"/>
    <cellStyle name="Followed Hyperlink" xfId="213" builtinId="9" hidden="1"/>
    <cellStyle name="Followed Hyperlink" xfId="214" builtinId="9" hidden="1"/>
    <cellStyle name="Followed Hyperlink" xfId="215" builtinId="9" hidden="1"/>
    <cellStyle name="Followed Hyperlink" xfId="216" builtinId="9" hidden="1"/>
    <cellStyle name="Followed Hyperlink" xfId="217" builtinId="9" hidden="1"/>
    <cellStyle name="Followed Hyperlink" xfId="218" builtinId="9" hidden="1"/>
    <cellStyle name="Followed Hyperlink" xfId="219" builtinId="9" hidden="1"/>
    <cellStyle name="Followed Hyperlink" xfId="220" builtinId="9" hidden="1"/>
    <cellStyle name="Followed Hyperlink" xfId="221" builtinId="9" hidden="1"/>
    <cellStyle name="Followed Hyperlink" xfId="222" builtinId="9" hidden="1"/>
    <cellStyle name="Followed Hyperlink" xfId="223" builtinId="9" hidden="1"/>
    <cellStyle name="Followed Hyperlink" xfId="224" builtinId="9" hidden="1"/>
    <cellStyle name="Followed Hyperlink" xfId="225" builtinId="9" hidden="1"/>
    <cellStyle name="Followed Hyperlink" xfId="226" builtinId="9" hidden="1"/>
    <cellStyle name="Followed Hyperlink" xfId="227" builtinId="9" hidden="1"/>
    <cellStyle name="Followed Hyperlink" xfId="228" builtinId="9" hidden="1"/>
    <cellStyle name="Followed Hyperlink" xfId="229" builtinId="9" hidden="1"/>
    <cellStyle name="Followed Hyperlink" xfId="230" builtinId="9" hidden="1"/>
    <cellStyle name="Followed Hyperlink" xfId="231" builtinId="9" hidden="1"/>
    <cellStyle name="Followed Hyperlink" xfId="232" builtinId="9" hidden="1"/>
    <cellStyle name="Followed Hyperlink" xfId="233" builtinId="9" hidden="1"/>
    <cellStyle name="Followed Hyperlink" xfId="234" builtinId="9" hidden="1"/>
    <cellStyle name="Followed Hyperlink" xfId="235" builtinId="9" hidden="1"/>
    <cellStyle name="Followed Hyperlink" xfId="236" builtinId="9" hidden="1"/>
    <cellStyle name="Followed Hyperlink" xfId="237" builtinId="9" hidden="1"/>
    <cellStyle name="Followed Hyperlink" xfId="238" builtinId="9" hidden="1"/>
    <cellStyle name="Followed Hyperlink" xfId="239" builtinId="9" hidden="1"/>
    <cellStyle name="Followed Hyperlink" xfId="240" builtinId="9" hidden="1"/>
    <cellStyle name="Followed Hyperlink" xfId="241" builtinId="9" hidden="1"/>
    <cellStyle name="Followed Hyperlink" xfId="242" builtinId="9" hidden="1"/>
    <cellStyle name="Followed Hyperlink" xfId="243" builtinId="9" hidden="1"/>
    <cellStyle name="Followed Hyperlink" xfId="244" builtinId="9" hidden="1"/>
    <cellStyle name="Followed Hyperlink" xfId="245" builtinId="9" hidden="1"/>
    <cellStyle name="Followed Hyperlink" xfId="246" builtinId="9" hidden="1"/>
    <cellStyle name="Followed Hyperlink" xfId="247" builtinId="9" hidden="1"/>
    <cellStyle name="Followed Hyperlink" xfId="248" builtinId="9" hidden="1"/>
    <cellStyle name="Followed Hyperlink" xfId="249" builtinId="9" hidden="1"/>
    <cellStyle name="Followed Hyperlink" xfId="250" builtinId="9" hidden="1"/>
    <cellStyle name="Followed Hyperlink" xfId="251" builtinId="9" hidden="1"/>
    <cellStyle name="Followed Hyperlink" xfId="252" builtinId="9" hidden="1"/>
    <cellStyle name="Followed Hyperlink" xfId="253" builtinId="9" hidden="1"/>
    <cellStyle name="Followed Hyperlink" xfId="254" builtinId="9" hidden="1"/>
    <cellStyle name="Followed Hyperlink" xfId="255" builtinId="9" hidden="1"/>
    <cellStyle name="Followed Hyperlink" xfId="256" builtinId="9" hidden="1"/>
    <cellStyle name="Followed Hyperlink" xfId="257" builtinId="9" hidden="1"/>
    <cellStyle name="Followed Hyperlink" xfId="258" builtinId="9" hidden="1"/>
    <cellStyle name="Followed Hyperlink" xfId="259" builtinId="9" hidden="1"/>
    <cellStyle name="Followed Hyperlink" xfId="260" builtinId="9" hidden="1"/>
    <cellStyle name="Followed Hyperlink" xfId="261" builtinId="9" hidden="1"/>
    <cellStyle name="Followed Hyperlink" xfId="262" builtinId="9" hidden="1"/>
    <cellStyle name="Followed Hyperlink" xfId="263" builtinId="9" hidden="1"/>
    <cellStyle name="Followed Hyperlink" xfId="264" builtinId="9" hidden="1"/>
    <cellStyle name="Followed Hyperlink" xfId="265" builtinId="9" hidden="1"/>
    <cellStyle name="Followed Hyperlink" xfId="266" builtinId="9" hidden="1"/>
    <cellStyle name="Followed Hyperlink" xfId="267" builtinId="9" hidden="1"/>
    <cellStyle name="Followed Hyperlink" xfId="268" builtinId="9" hidden="1"/>
    <cellStyle name="Followed Hyperlink" xfId="269" builtinId="9" hidden="1"/>
    <cellStyle name="Followed Hyperlink" xfId="270" builtinId="9" hidden="1"/>
    <cellStyle name="Followed Hyperlink" xfId="271" builtinId="9" hidden="1"/>
    <cellStyle name="Followed Hyperlink" xfId="272" builtinId="9" hidden="1"/>
    <cellStyle name="Followed Hyperlink" xfId="273" builtinId="9" hidden="1"/>
    <cellStyle name="Followed Hyperlink" xfId="274" builtinId="9" hidden="1"/>
    <cellStyle name="Followed Hyperlink" xfId="275" builtinId="9" hidden="1"/>
    <cellStyle name="Followed Hyperlink" xfId="276" builtinId="9" hidden="1"/>
    <cellStyle name="Followed Hyperlink" xfId="277" builtinId="9" hidden="1"/>
    <cellStyle name="Followed Hyperlink" xfId="278" builtinId="9" hidden="1"/>
    <cellStyle name="Followed Hyperlink" xfId="279" builtinId="9" hidden="1"/>
    <cellStyle name="Followed Hyperlink" xfId="280" builtinId="9" hidden="1"/>
    <cellStyle name="Followed Hyperlink" xfId="281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288" builtinId="8" hidden="1"/>
    <cellStyle name="Hyperlink" xfId="290" builtinId="8" hidden="1"/>
    <cellStyle name="Hyperlink" xfId="292" builtinId="8" hidden="1"/>
    <cellStyle name="Normal" xfId="0" builtinId="0"/>
    <cellStyle name="Normal 2" xfId="282" xr:uid="{00000000-0005-0000-0000-000020010000}"/>
    <cellStyle name="Normal 3" xfId="283" xr:uid="{00000000-0005-0000-0000-000021010000}"/>
    <cellStyle name="Normal 3 2" xfId="285" xr:uid="{00000000-0005-0000-0000-000022010000}"/>
    <cellStyle name="Normal 3 2 2" xfId="286" xr:uid="{00000000-0005-0000-0000-000023010000}"/>
    <cellStyle name="Normal 3 2 3" xfId="287" xr:uid="{00000000-0005-0000-0000-000024010000}"/>
    <cellStyle name="Normal 4" xfId="284" xr:uid="{00000000-0005-0000-0000-000025010000}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660400</xdr:colOff>
      <xdr:row>1</xdr:row>
      <xdr:rowOff>224693</xdr:rowOff>
    </xdr:from>
    <xdr:to>
      <xdr:col>11</xdr:col>
      <xdr:colOff>406399</xdr:colOff>
      <xdr:row>5</xdr:row>
      <xdr:rowOff>275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13477" y="485206"/>
          <a:ext cx="1992923" cy="15666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showGridLines="0" tabSelected="1" zoomScale="135" zoomScaleNormal="135" zoomScalePageLayoutView="135" workbookViewId="0">
      <selection activeCell="A13" sqref="A13:XFD13"/>
    </sheetView>
  </sheetViews>
  <sheetFormatPr baseColWidth="10" defaultColWidth="8.83203125" defaultRowHeight="13" x14ac:dyDescent="0.15"/>
  <cols>
    <col min="1" max="1" width="16.5" style="2" customWidth="1"/>
    <col min="2" max="2" width="9.6640625" bestFit="1" customWidth="1"/>
    <col min="3" max="3" width="0" style="4" hidden="1" customWidth="1"/>
    <col min="4" max="4" width="8.33203125" customWidth="1"/>
    <col min="5" max="5" width="28.6640625" customWidth="1"/>
    <col min="6" max="8" width="25.6640625" customWidth="1"/>
    <col min="9" max="12" width="17.83203125" hidden="1" customWidth="1"/>
  </cols>
  <sheetData>
    <row r="1" spans="1:13" x14ac:dyDescent="0.15">
      <c r="A1" s="17" t="s">
        <v>18</v>
      </c>
      <c r="B1" s="18">
        <v>200</v>
      </c>
      <c r="C1">
        <f>IF(Brevet_Length&gt;=1200,Brevet_Length,IF(Brevet_Length&gt;=1000,1000,IF(Brevet_Length&gt;=600,600,IF(Brevet_Length&gt;=400,400,IF(Brevet_Length&gt;=300,300,IF(Brevet_Length&gt;=200,200,100))))))</f>
        <v>200</v>
      </c>
    </row>
    <row r="2" spans="1:13" ht="14" thickBot="1" x14ac:dyDescent="0.2">
      <c r="A2" s="19" t="s">
        <v>19</v>
      </c>
      <c r="B2" s="20">
        <f>IF(brevet=1200,90,IF(brevet=1000,75,IF(brevet=600,40,IF(brevet=400,27,IF(brevet=300,20,IF(brevet=200,13.5,IF(brevet=100,7,0)))))))</f>
        <v>13.5</v>
      </c>
    </row>
    <row r="3" spans="1:13" ht="14" thickBot="1" x14ac:dyDescent="0.2">
      <c r="A3" s="19" t="s">
        <v>20</v>
      </c>
      <c r="B3" s="102" t="s">
        <v>62</v>
      </c>
      <c r="C3" s="3"/>
      <c r="D3" s="57"/>
      <c r="E3" s="57"/>
      <c r="F3" s="57"/>
      <c r="G3" s="57"/>
      <c r="H3" s="57"/>
      <c r="M3" s="26"/>
    </row>
    <row r="4" spans="1:13" x14ac:dyDescent="0.15">
      <c r="A4" s="19" t="s">
        <v>21</v>
      </c>
      <c r="B4" s="75">
        <v>5076</v>
      </c>
      <c r="C4" s="38"/>
      <c r="F4" s="39"/>
      <c r="G4" s="39"/>
      <c r="H4" s="39"/>
    </row>
    <row r="5" spans="1:13" x14ac:dyDescent="0.15">
      <c r="A5" s="71" t="s">
        <v>50</v>
      </c>
      <c r="B5" s="21">
        <v>44366</v>
      </c>
    </row>
    <row r="6" spans="1:13" ht="6" customHeight="1" x14ac:dyDescent="0.15"/>
    <row r="7" spans="1:13" ht="14" thickBot="1" x14ac:dyDescent="0.2">
      <c r="A7" s="66" t="s">
        <v>22</v>
      </c>
      <c r="B7" s="67">
        <v>44366</v>
      </c>
    </row>
    <row r="8" spans="1:13" ht="14" thickBot="1" x14ac:dyDescent="0.2">
      <c r="A8" s="15" t="s">
        <v>23</v>
      </c>
      <c r="B8" s="16">
        <v>0.33333333333333331</v>
      </c>
      <c r="D8" s="113" t="s">
        <v>24</v>
      </c>
      <c r="E8" s="114"/>
      <c r="F8" s="114"/>
      <c r="G8" s="114"/>
      <c r="H8" s="114"/>
    </row>
    <row r="9" spans="1:13" ht="14" thickBot="1" x14ac:dyDescent="0.2">
      <c r="D9" s="7" t="s">
        <v>25</v>
      </c>
      <c r="E9" s="8" t="s">
        <v>26</v>
      </c>
      <c r="F9" s="8" t="s">
        <v>27</v>
      </c>
      <c r="G9" s="8" t="s">
        <v>28</v>
      </c>
      <c r="H9" s="9" t="s">
        <v>29</v>
      </c>
      <c r="I9" t="s">
        <v>3</v>
      </c>
      <c r="J9" t="s">
        <v>4</v>
      </c>
      <c r="K9" t="s">
        <v>5</v>
      </c>
      <c r="L9" t="s">
        <v>6</v>
      </c>
    </row>
    <row r="10" spans="1:13" x14ac:dyDescent="0.15">
      <c r="C10" s="4" t="s">
        <v>7</v>
      </c>
      <c r="D10" s="40">
        <v>0</v>
      </c>
      <c r="E10" s="103" t="s">
        <v>63</v>
      </c>
      <c r="F10" s="104" t="s">
        <v>64</v>
      </c>
      <c r="G10" s="104" t="s">
        <v>65</v>
      </c>
      <c r="H10" s="60"/>
      <c r="I10" s="5">
        <f>Start_date+Start_time</f>
        <v>44366.333333333336</v>
      </c>
      <c r="J10" s="5">
        <f>I10+"1:00"</f>
        <v>44366.375</v>
      </c>
      <c r="K10" s="6">
        <f>IF(ISBLANK(Distance),"",Open Control_1)</f>
        <v>44366.333333333336</v>
      </c>
      <c r="L10" s="6">
        <f>IF(ISBLANK(Distance),"",Close Control_1)</f>
        <v>44366.375</v>
      </c>
    </row>
    <row r="11" spans="1:13" x14ac:dyDescent="0.15">
      <c r="C11" s="4" t="s">
        <v>8</v>
      </c>
      <c r="D11" s="40">
        <v>47.1</v>
      </c>
      <c r="E11" s="103" t="s">
        <v>66</v>
      </c>
      <c r="F11" s="104" t="s">
        <v>69</v>
      </c>
      <c r="G11" s="104"/>
      <c r="H11" s="105"/>
      <c r="I11">
        <f>IF(ISBLANK(Distance),"",IF(Distance&gt;1000,(Distance-1000)/26+33.0847,(IF(Distance&gt;600,(Distance-600)/28+18.799,(IF(Distance&gt;400,(Distance-400)/30+12.1324,(IF(Distance&gt;200,(Distance-200)/32+5.8824,Distance/34))))))))</f>
        <v>1.3852941176470588</v>
      </c>
      <c r="J11">
        <f>IF(ISBLANK(Distance),"",IF(Distance&gt;=brevet,IF(brevet&gt;1200,(brevet-1200)*75/1000+90,Max_time),IF(Distance&gt;1200,(Distance-1200)*75/1000+90,IF(Distance&gt;1000,(Distance-1000)/(1000/75)+75,IF(Distance&gt;600,(Distance-600)/(400/35)+40,Distance/15)))))</f>
        <v>3.14</v>
      </c>
      <c r="K11" s="6">
        <f>IF(ISBLANK(Distance),"",Open_time Control_1+(INT(Open)&amp;":"&amp;IF(ROUND(((Open-INT(Open))*60),0)&lt;10,0,"")&amp;ROUND(((Open-INT(Open))*60),0)))</f>
        <v>44366.390972222223</v>
      </c>
      <c r="L11" s="6">
        <f>IF(ISBLANK(Distance),"",Open_time Control_1+(INT(Close)&amp;":"&amp;IF(ROUND(((Close-INT(Close))*60),0)&lt;10,0,"")&amp;ROUND(((Close-INT(Close))*60),0)))</f>
        <v>44366.463888888895</v>
      </c>
    </row>
    <row r="12" spans="1:13" x14ac:dyDescent="0.15">
      <c r="C12" s="4" t="s">
        <v>9</v>
      </c>
      <c r="D12" s="40">
        <v>71.3</v>
      </c>
      <c r="E12" s="103" t="s">
        <v>67</v>
      </c>
      <c r="F12" s="104" t="s">
        <v>73</v>
      </c>
      <c r="G12" s="104" t="s">
        <v>86</v>
      </c>
      <c r="H12" s="60"/>
      <c r="I12">
        <f>IF(ISBLANK(Distance),"",IF(Distance&gt;1000,(Distance-1000)/26+33.0847,(IF(Distance&gt;600,(Distance-600)/28+18.799,(IF(Distance&gt;400,(Distance-400)/30+12.1324,(IF(Distance&gt;200,(Distance-200)/32+5.8824,Distance/34))))))))</f>
        <v>2.0970588235294119</v>
      </c>
      <c r="J12">
        <f t="shared" ref="J12:J19" si="0">IF(ISBLANK(Distance),"",IF(Distance&gt;=brevet,IF(brevet&gt;1200,(brevet-1200)*75/1000+90,Max_time),IF(Distance&gt;1200,(Distance-1200)*75/1000+90,IF(Distance&gt;1000,(Distance-1000)/(1000/75)+75,IF(Distance&gt;600,(Distance-600)/(400/35)+40,Distance/15)))))</f>
        <v>4.753333333333333</v>
      </c>
      <c r="K12" s="6">
        <f>IF(ISBLANK(Distance),"",Open_time Control_1+(INT(Open)&amp;":"&amp;IF(ROUND(((Open-INT(Open))*60),0)&lt;10,0,"")&amp;ROUND(((Open-INT(Open))*60),0)))</f>
        <v>44366.420833333337</v>
      </c>
      <c r="L12" s="6">
        <f>IF(ISBLANK(Distance),"",Open_time Control_1+(INT(Close)&amp;":"&amp;IF(ROUND(((Close-INT(Close))*60),0)&lt;10,0,"")&amp;ROUND(((Close-INT(Close))*60),0)))</f>
        <v>44366.53125</v>
      </c>
    </row>
    <row r="13" spans="1:13" ht="13" customHeight="1" x14ac:dyDescent="0.15">
      <c r="C13" s="4" t="s">
        <v>10</v>
      </c>
      <c r="D13" s="40">
        <v>111.2</v>
      </c>
      <c r="E13" s="103" t="s">
        <v>68</v>
      </c>
      <c r="F13" s="104" t="s">
        <v>74</v>
      </c>
      <c r="G13" s="131" t="s">
        <v>90</v>
      </c>
      <c r="H13" s="132" t="s">
        <v>91</v>
      </c>
      <c r="I13">
        <f t="shared" ref="I13:I19" si="1">IF(ISBLANK(Distance),"",IF(Distance&gt;1000,(Distance-1000)/26+33.0847,(IF(Distance&gt;600,(Distance-600)/28+18.799,(IF(Distance&gt;400,(Distance-400)/30+12.1324,(IF(Distance&gt;200,(Distance-200)/32+5.8824,Distance/34))))))))</f>
        <v>3.2705882352941176</v>
      </c>
      <c r="J13">
        <f t="shared" si="0"/>
        <v>7.4133333333333331</v>
      </c>
      <c r="K13" s="6">
        <f>IF(ISBLANK(Distance),"",Open_time Control_1+(INT(Open)&amp;":"&amp;IF(ROUND(((Open-INT(Open))*60),0)&lt;10,0,"")&amp;ROUND(((Open-INT(Open))*60),0)))</f>
        <v>44366.469444444447</v>
      </c>
      <c r="L13" s="6">
        <f>IF(ISBLANK(Distance),"",Open_time Control_1+(INT(Close)&amp;":"&amp;IF(ROUND(((Close-INT(Close))*60),0)&lt;10,0,"")&amp;ROUND(((Close-INT(Close))*60),0)))</f>
        <v>44366.642361111117</v>
      </c>
    </row>
    <row r="14" spans="1:13" x14ac:dyDescent="0.15">
      <c r="C14" s="4" t="s">
        <v>11</v>
      </c>
      <c r="D14" s="40">
        <v>137.80000000000001</v>
      </c>
      <c r="E14" s="103" t="s">
        <v>83</v>
      </c>
      <c r="F14" s="104" t="s">
        <v>84</v>
      </c>
      <c r="G14" s="104"/>
      <c r="H14" s="60"/>
      <c r="I14">
        <f t="shared" si="1"/>
        <v>4.0529411764705889</v>
      </c>
      <c r="J14">
        <f t="shared" si="0"/>
        <v>9.1866666666666674</v>
      </c>
      <c r="K14" s="6">
        <f>IF(ISBLANK(Distance),"",Open_time Control_1+(INT(Open)&amp;":"&amp;IF(ROUND(((Open-INT(Open))*60),0)&lt;10,0,"")&amp;ROUND(((Open-INT(Open))*60),0)))</f>
        <v>44366.502083333333</v>
      </c>
      <c r="L14" s="6">
        <f>IF(ISBLANK(Distance),"",Open_time Control_1+(INT(Close)&amp;":"&amp;IF(ROUND(((Close-INT(Close))*60),0)&lt;10,0,"")&amp;ROUND(((Close-INT(Close))*60),0)))</f>
        <v>44366.715972222228</v>
      </c>
    </row>
    <row r="15" spans="1:13" x14ac:dyDescent="0.15">
      <c r="C15" s="4" t="s">
        <v>12</v>
      </c>
      <c r="D15" s="40">
        <v>165.2</v>
      </c>
      <c r="E15" s="103" t="s">
        <v>66</v>
      </c>
      <c r="F15" s="104" t="s">
        <v>71</v>
      </c>
      <c r="G15" s="104"/>
      <c r="H15" s="60"/>
      <c r="I15">
        <f t="shared" si="1"/>
        <v>4.8588235294117643</v>
      </c>
      <c r="J15">
        <f t="shared" si="0"/>
        <v>11.013333333333332</v>
      </c>
      <c r="K15" s="6">
        <f>IF(ISBLANK(Distance),"",Open_time Control_1+(INT(Open)&amp;":"&amp;IF(ROUND(((Open-INT(Open))*60),0)&lt;10,0,"")&amp;ROUND(((Open-INT(Open))*60),0)))</f>
        <v>44366.536111111112</v>
      </c>
      <c r="L15" s="6">
        <f>IF(ISBLANK(Distance),"",Open_time Control_1+(INT(Close)&amp;":"&amp;IF(ROUND(((Close-INT(Close))*60),0)&lt;10,0,"")&amp;ROUND(((Close-INT(Close))*60),0)))</f>
        <v>44366.792361111111</v>
      </c>
    </row>
    <row r="16" spans="1:13" x14ac:dyDescent="0.15">
      <c r="C16" s="4" t="s">
        <v>13</v>
      </c>
      <c r="D16" s="40">
        <v>206</v>
      </c>
      <c r="E16" s="103" t="s">
        <v>63</v>
      </c>
      <c r="F16" s="104" t="s">
        <v>64</v>
      </c>
      <c r="G16" s="104" t="s">
        <v>65</v>
      </c>
      <c r="H16" s="60"/>
      <c r="I16">
        <f t="shared" si="1"/>
        <v>6.0698999999999996</v>
      </c>
      <c r="J16">
        <f t="shared" si="0"/>
        <v>13.5</v>
      </c>
      <c r="K16" s="6">
        <f>IF(ISBLANK(Distance),"",Open_time Control_1+(INT(Open)&amp;":"&amp;IF(ROUND(((Open-INT(Open))*60),0)&lt;10,0,"")&amp;ROUND(((Open-INT(Open))*60),0)))</f>
        <v>44366.586111111115</v>
      </c>
      <c r="L16" s="6">
        <f>IF(ISBLANK(Distance),"",Open_time Control_1+(INT(Close)&amp;":"&amp;IF(ROUND(((Close-INT(Close))*60),0)&lt;10,0,"")&amp;ROUND(((Close-INT(Close))*60),0)))</f>
        <v>44366.895833333336</v>
      </c>
    </row>
    <row r="17" spans="3:12" ht="14" x14ac:dyDescent="0.15">
      <c r="C17" s="4" t="s">
        <v>14</v>
      </c>
      <c r="D17" s="40"/>
      <c r="E17" s="61"/>
      <c r="F17" s="59"/>
      <c r="G17" s="59"/>
      <c r="H17" s="60"/>
      <c r="I17" t="str">
        <f t="shared" si="1"/>
        <v/>
      </c>
      <c r="J17" t="str">
        <f t="shared" si="0"/>
        <v/>
      </c>
      <c r="K17" s="6" t="str">
        <f>IF(ISBLANK(Distance),"",Open_time Control_1+(INT(Open)&amp;":"&amp;IF(ROUND(((Open-INT(Open))*60),0)&lt;10,0,"")&amp;ROUND(((Open-INT(Open))*60),0)))</f>
        <v/>
      </c>
      <c r="L17" s="6" t="str">
        <f>IF(ISBLANK(Distance),"",Open_time Control_1+(INT(Close)&amp;":"&amp;IF(ROUND(((Close-INT(Close))*60),0)&lt;10,0,"")&amp;ROUND(((Close-INT(Close))*60),0)))</f>
        <v/>
      </c>
    </row>
    <row r="18" spans="3:12" ht="14" x14ac:dyDescent="0.15">
      <c r="C18" s="4" t="s">
        <v>15</v>
      </c>
      <c r="D18" s="40"/>
      <c r="E18" s="61"/>
      <c r="F18" s="59"/>
      <c r="G18" s="59"/>
      <c r="H18" s="60"/>
      <c r="I18" t="str">
        <f t="shared" si="1"/>
        <v/>
      </c>
      <c r="J18" t="str">
        <f t="shared" si="0"/>
        <v/>
      </c>
      <c r="K18" s="6" t="str">
        <f>IF(ISBLANK(Distance),"",Open_time Control_1+(INT(Open)&amp;":"&amp;IF(ROUND(((Open-INT(Open))*60),0)&lt;10,0,"")&amp;ROUND(((Open-INT(Open))*60),0)))</f>
        <v/>
      </c>
      <c r="L18" s="6" t="str">
        <f>IF(ISBLANK(Distance),"",Open_time Control_1+(INT(Close)&amp;":"&amp;IF(ROUND(((Close-INT(Close))*60),0)&lt;10,0,"")&amp;ROUND(((Close-INT(Close))*60),0)))</f>
        <v/>
      </c>
    </row>
    <row r="19" spans="3:12" ht="15" thickBot="1" x14ac:dyDescent="0.2">
      <c r="C19" s="4" t="s">
        <v>16</v>
      </c>
      <c r="D19" s="76"/>
      <c r="E19" s="77"/>
      <c r="F19" s="78"/>
      <c r="G19" s="78"/>
      <c r="H19" s="79"/>
      <c r="I19" t="str">
        <f t="shared" si="1"/>
        <v/>
      </c>
      <c r="J19" t="str">
        <f t="shared" si="0"/>
        <v/>
      </c>
      <c r="K19" s="6" t="str">
        <f>IF(ISBLANK(Distance),"",Open_time Control_1+(INT(Open)&amp;":"&amp;IF(ROUND(((Open-INT(Open))*60),0)&lt;10,0,"")&amp;ROUND(((Open-INT(Open))*60),0)))</f>
        <v/>
      </c>
      <c r="L19" s="6" t="str">
        <f>IF(ISBLANK(Distance),"",Open_time Control_1+(INT(Close)&amp;":"&amp;IF(ROUND(((Close-INT(Close))*60),0)&lt;10,0,"")&amp;ROUND(((Close-INT(Close))*60),0)))</f>
        <v/>
      </c>
    </row>
  </sheetData>
  <mergeCells count="1">
    <mergeCell ref="D8:H8"/>
  </mergeCells>
  <phoneticPr fontId="16" type="noConversion"/>
  <pageMargins left="0.75" right="0.75" top="1" bottom="1" header="0.5" footer="0.5"/>
  <pageSetup orientation="portrait" horizontalDpi="4294967292" verticalDpi="4294967292" r:id="rId1"/>
  <headerFooter>
    <oddHeader>&amp;A</oddHeader>
    <oddFooter>Page &amp;P</oddFooter>
  </headerFooter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40"/>
  <sheetViews>
    <sheetView showGridLines="0" zoomScale="92" zoomScaleNormal="92" zoomScalePageLayoutView="92" workbookViewId="0">
      <selection activeCell="F7" sqref="F7"/>
    </sheetView>
  </sheetViews>
  <sheetFormatPr baseColWidth="10" defaultColWidth="8.83203125" defaultRowHeight="13" x14ac:dyDescent="0.15"/>
  <cols>
    <col min="1" max="1" width="8.5" style="1" customWidth="1"/>
    <col min="2" max="3" width="12.33203125" bestFit="1" customWidth="1"/>
    <col min="4" max="4" width="18" customWidth="1"/>
    <col min="5" max="5" width="23.83203125" customWidth="1"/>
    <col min="6" max="6" width="46.33203125" customWidth="1"/>
    <col min="7" max="7" width="13.5" customWidth="1"/>
    <col min="8" max="8" width="8" style="42" customWidth="1"/>
    <col min="9" max="9" width="12" customWidth="1"/>
    <col min="18" max="19" width="8.83203125" customWidth="1"/>
  </cols>
  <sheetData>
    <row r="1" spans="1:22" ht="21" thickBot="1" x14ac:dyDescent="0.2">
      <c r="A1" s="123" t="s">
        <v>45</v>
      </c>
      <c r="B1" s="123"/>
      <c r="C1" s="123"/>
      <c r="D1" s="123"/>
      <c r="E1" s="123"/>
      <c r="F1" s="123"/>
      <c r="G1" s="123"/>
      <c r="H1" s="41" t="s">
        <v>30</v>
      </c>
    </row>
    <row r="2" spans="1:22" ht="33.75" customHeight="1" thickBot="1" x14ac:dyDescent="0.25">
      <c r="A2" s="10" t="s">
        <v>31</v>
      </c>
      <c r="B2" s="11" t="s">
        <v>3</v>
      </c>
      <c r="C2" s="11" t="s">
        <v>4</v>
      </c>
      <c r="D2" s="11" t="s">
        <v>26</v>
      </c>
      <c r="E2" s="11" t="s">
        <v>32</v>
      </c>
      <c r="F2" s="11" t="s">
        <v>61</v>
      </c>
      <c r="G2" s="10" t="s">
        <v>33</v>
      </c>
      <c r="H2" s="41" t="s">
        <v>30</v>
      </c>
      <c r="K2" s="121" t="s">
        <v>57</v>
      </c>
      <c r="L2" s="121"/>
      <c r="M2" s="121"/>
      <c r="N2" s="121"/>
      <c r="O2" s="121"/>
      <c r="P2" s="121"/>
      <c r="Q2" s="121"/>
      <c r="R2" s="121"/>
      <c r="S2" s="121"/>
      <c r="T2" s="121"/>
      <c r="U2" s="121"/>
    </row>
    <row r="3" spans="1:22" ht="36" customHeight="1" x14ac:dyDescent="0.45">
      <c r="A3" s="45"/>
      <c r="B3" s="46">
        <f>Control_1 Open_time</f>
        <v>44366.333333333336</v>
      </c>
      <c r="C3" s="46">
        <f>Control_1 Close_time</f>
        <v>44366.375</v>
      </c>
      <c r="D3" s="47"/>
      <c r="E3" s="48" t="str">
        <f>IF(ISBLANK(Control_1 Establishment_1),"",Control_1 Establishment_1)</f>
        <v>Sanctuary Café</v>
      </c>
      <c r="F3" s="110" t="s">
        <v>78</v>
      </c>
      <c r="G3" s="12"/>
      <c r="H3" s="41" t="s">
        <v>30</v>
      </c>
      <c r="K3" s="22"/>
      <c r="N3" s="126" t="s">
        <v>34</v>
      </c>
      <c r="O3" s="126"/>
      <c r="P3" s="126"/>
      <c r="Q3" s="126"/>
      <c r="R3" s="126"/>
      <c r="S3" s="126"/>
      <c r="T3" s="62"/>
      <c r="U3" s="62"/>
    </row>
    <row r="4" spans="1:22" ht="36" customHeight="1" x14ac:dyDescent="0.2">
      <c r="A4" s="54">
        <f>IF(ISBLANK(Distance Control_1),"",Control_1 Distance)</f>
        <v>0</v>
      </c>
      <c r="B4" s="55">
        <f>Control_1 Open_time</f>
        <v>44366.333333333336</v>
      </c>
      <c r="C4" s="55">
        <f>Control_1 Close_time</f>
        <v>44366.375</v>
      </c>
      <c r="D4" s="56" t="str">
        <f>IF(ISBLANK(Locale Control_1),"",Locale Control_1)</f>
        <v>Richmond</v>
      </c>
      <c r="E4" s="48" t="str">
        <f>IF(ISBLANK(Control_1 Establishment_2),"",Control_1 Establishment_2)</f>
        <v>160-13020 No. 2 Road</v>
      </c>
      <c r="F4" s="111" t="s">
        <v>79</v>
      </c>
      <c r="G4" s="12"/>
      <c r="H4" s="41" t="s">
        <v>30</v>
      </c>
      <c r="K4" s="22"/>
      <c r="M4" s="125" t="str">
        <f>IF(ISBLANK(brevet),"",brevet&amp;" km Randonnée")</f>
        <v>200 km Randonnée</v>
      </c>
      <c r="N4" s="125"/>
      <c r="O4" s="125"/>
      <c r="P4" s="125"/>
      <c r="Q4" s="125"/>
      <c r="R4" s="125"/>
      <c r="S4" s="125"/>
      <c r="T4" s="125"/>
      <c r="U4" s="63"/>
    </row>
    <row r="5" spans="1:22" ht="36" customHeight="1" thickBot="1" x14ac:dyDescent="0.25">
      <c r="A5" s="49"/>
      <c r="B5" s="50">
        <f>Control_1 Open_time</f>
        <v>44366.333333333336</v>
      </c>
      <c r="C5" s="50">
        <f>Control_1 Close_time</f>
        <v>44366.375</v>
      </c>
      <c r="D5" s="51"/>
      <c r="E5" s="52" t="str">
        <f>IF(ISBLANK(Control_1 Establishment_3),"",Control_1 Establishment_3)</f>
        <v/>
      </c>
      <c r="F5" s="14"/>
      <c r="G5" s="13"/>
      <c r="H5" s="41" t="s">
        <v>30</v>
      </c>
      <c r="K5" s="22"/>
      <c r="M5" s="23"/>
      <c r="N5" s="127" t="s">
        <v>49</v>
      </c>
      <c r="O5" s="127"/>
      <c r="P5" s="100">
        <f>IF(ISBLANK(Brevet_Number),"",Brevet_Number)</f>
        <v>5076</v>
      </c>
      <c r="Q5" s="101"/>
      <c r="R5" s="120">
        <f>IF(ISBLANK('Control Entry'!$B5),"",'Control Entry'!$B5)</f>
        <v>44366</v>
      </c>
      <c r="S5" s="120"/>
      <c r="T5" s="120"/>
      <c r="U5" s="120"/>
      <c r="V5" s="64"/>
    </row>
    <row r="6" spans="1:22" ht="36" customHeight="1" x14ac:dyDescent="0.2">
      <c r="A6" s="45"/>
      <c r="B6" s="46">
        <f>Control_2 Open_time</f>
        <v>44366.390972222223</v>
      </c>
      <c r="C6" s="46">
        <f>Control_2 Close_time</f>
        <v>44366.463888888895</v>
      </c>
      <c r="D6" s="53"/>
      <c r="E6" s="48" t="str">
        <f>IF(ISBLANK(Control_2 Establishment_1),"",Control_2 Establishment_1)</f>
        <v>Esso/Tim Hortons</v>
      </c>
      <c r="F6" s="112" t="s">
        <v>80</v>
      </c>
      <c r="G6" s="12"/>
      <c r="H6" s="41" t="s">
        <v>30</v>
      </c>
      <c r="K6" s="22"/>
      <c r="L6" s="130" t="str">
        <f>IF(ISBLANK(Brevet_Description),"",Brevet_Description)</f>
        <v>Buccaneer Sanctuary Café</v>
      </c>
      <c r="M6" s="130"/>
      <c r="N6" s="130"/>
      <c r="O6" s="130"/>
      <c r="P6" s="130"/>
      <c r="Q6" s="130"/>
      <c r="R6" s="130"/>
      <c r="S6" s="130"/>
      <c r="T6" s="130"/>
      <c r="U6" s="130"/>
    </row>
    <row r="7" spans="1:22" ht="36" customHeight="1" x14ac:dyDescent="0.2">
      <c r="A7" s="54">
        <f>IF(ISBLANK(Distance Control_2),"",Control_2 Distance)</f>
        <v>47.1</v>
      </c>
      <c r="B7" s="55">
        <f>Control_2 Open_time</f>
        <v>44366.390972222223</v>
      </c>
      <c r="C7" s="55">
        <f>Control_2 Close_time</f>
        <v>44366.463888888895</v>
      </c>
      <c r="D7" s="56" t="str">
        <f>IF(ISBLANK(Locale Control_2),"",Locale Control_2)</f>
        <v>Delta</v>
      </c>
      <c r="E7" s="82" t="str">
        <f>IF(ISBLANK(Control_2 Establishment_2),"",Control_2 Establishment_2)</f>
        <v/>
      </c>
      <c r="F7" s="107" t="s">
        <v>70</v>
      </c>
      <c r="G7" s="12"/>
      <c r="H7" s="41" t="s">
        <v>30</v>
      </c>
    </row>
    <row r="8" spans="1:22" ht="36" customHeight="1" thickBot="1" x14ac:dyDescent="0.25">
      <c r="A8" s="49"/>
      <c r="B8" s="50">
        <f>Control_2 Open_time</f>
        <v>44366.390972222223</v>
      </c>
      <c r="C8" s="50">
        <f>Control_2 Close_time</f>
        <v>44366.463888888895</v>
      </c>
      <c r="D8" s="51"/>
      <c r="E8" s="52" t="str">
        <f>IF(ISBLANK(Control_2 Establishment_3),"",Control_2 Establishment_3)</f>
        <v/>
      </c>
      <c r="F8" s="108"/>
      <c r="G8" s="13"/>
      <c r="H8" s="41" t="s">
        <v>30</v>
      </c>
      <c r="J8" s="23" t="s">
        <v>35</v>
      </c>
      <c r="L8" s="122"/>
      <c r="M8" s="122"/>
      <c r="N8" s="122"/>
      <c r="O8" s="122"/>
      <c r="P8" s="122"/>
      <c r="Q8" s="122"/>
      <c r="R8" s="42"/>
      <c r="S8" s="65" t="s">
        <v>48</v>
      </c>
      <c r="T8" s="115"/>
      <c r="U8" s="115"/>
    </row>
    <row r="9" spans="1:22" ht="36" customHeight="1" thickBot="1" x14ac:dyDescent="0.3">
      <c r="A9" s="45"/>
      <c r="B9" s="46">
        <f>Control_3 Open_time</f>
        <v>44366.420833333337</v>
      </c>
      <c r="C9" s="46">
        <f>Control_3 Close_time</f>
        <v>44366.53125</v>
      </c>
      <c r="D9" s="53"/>
      <c r="E9" s="82" t="str">
        <f>IF(ISBLANK(Control_3 Establishment_1),"",Control_3 Establishment_1)</f>
        <v>Delitalia Fine Foods</v>
      </c>
      <c r="F9" s="107" t="s">
        <v>81</v>
      </c>
      <c r="G9" s="12"/>
      <c r="H9" s="41" t="s">
        <v>30</v>
      </c>
      <c r="J9" s="23" t="s">
        <v>36</v>
      </c>
      <c r="K9" s="23"/>
      <c r="L9" s="80" t="s">
        <v>56</v>
      </c>
      <c r="M9" s="29"/>
      <c r="N9" s="29"/>
      <c r="O9" s="29"/>
      <c r="P9" s="29"/>
      <c r="Q9" s="29"/>
      <c r="R9" s="29"/>
      <c r="S9" s="29"/>
      <c r="T9" s="29"/>
      <c r="U9" s="27"/>
    </row>
    <row r="10" spans="1:22" ht="36" customHeight="1" thickBot="1" x14ac:dyDescent="0.3">
      <c r="A10" s="54">
        <f>IF(ISBLANK(Distance Control_3),"",Control_3 Distance)</f>
        <v>71.3</v>
      </c>
      <c r="B10" s="55">
        <f>Control_3 Open_time</f>
        <v>44366.420833333337</v>
      </c>
      <c r="C10" s="55">
        <f>Control_3 Close_time</f>
        <v>44366.53125</v>
      </c>
      <c r="D10" s="56" t="str">
        <f>IF(ISBLANK(Locale Control_3),"",Locale Control_3)</f>
        <v>Ocean Park</v>
      </c>
      <c r="E10" s="48" t="str">
        <f>IF(ISBLANK(Control_3 Establishment_2),"",Control_3 Establishment_2)</f>
        <v>1629A 128 St</v>
      </c>
      <c r="F10" s="107" t="s">
        <v>82</v>
      </c>
      <c r="G10" s="12"/>
      <c r="H10" s="41" t="s">
        <v>30</v>
      </c>
      <c r="J10" s="23"/>
      <c r="K10" s="23"/>
      <c r="L10" s="43"/>
      <c r="M10" s="29"/>
      <c r="N10" s="29"/>
      <c r="O10" s="29"/>
      <c r="P10" s="29"/>
      <c r="Q10" s="29"/>
      <c r="R10" s="29"/>
      <c r="S10" s="29"/>
      <c r="T10" s="29"/>
      <c r="U10" s="27"/>
    </row>
    <row r="11" spans="1:22" ht="36" customHeight="1" thickBot="1" x14ac:dyDescent="0.3">
      <c r="A11" s="49"/>
      <c r="B11" s="50">
        <f>Control_3 Open_time</f>
        <v>44366.420833333337</v>
      </c>
      <c r="C11" s="50">
        <f>Control_3 Close_time</f>
        <v>44366.53125</v>
      </c>
      <c r="D11" s="51"/>
      <c r="E11" s="52" t="str">
        <f>IF(ISBLANK(Control_3 Establishment_3),"",Control_3 Establishment_3)</f>
        <v/>
      </c>
      <c r="F11" s="14"/>
      <c r="G11" s="13"/>
      <c r="H11" s="41" t="s">
        <v>30</v>
      </c>
      <c r="J11" s="23" t="s">
        <v>37</v>
      </c>
      <c r="K11" s="23"/>
      <c r="L11" s="43"/>
      <c r="M11" s="29"/>
      <c r="N11" s="29"/>
      <c r="O11" s="30"/>
      <c r="P11" s="30" t="s">
        <v>38</v>
      </c>
      <c r="Q11" s="30"/>
      <c r="R11" s="30"/>
      <c r="S11" s="68"/>
      <c r="T11" s="43"/>
      <c r="U11" s="27"/>
    </row>
    <row r="12" spans="1:22" ht="36" customHeight="1" thickBot="1" x14ac:dyDescent="0.3">
      <c r="A12" s="45"/>
      <c r="B12" s="46">
        <f>Control_4 Open_time</f>
        <v>44366.469444444447</v>
      </c>
      <c r="C12" s="46">
        <f>Control_4 Close_time</f>
        <v>44366.642361111117</v>
      </c>
      <c r="D12" s="53"/>
      <c r="E12" s="48" t="str">
        <f>IF(ISBLANK(Control_4 Establishment_1),"",Control_4 Establishment_1)</f>
        <v>True Aromatherapy Products</v>
      </c>
      <c r="F12" s="112" t="s">
        <v>87</v>
      </c>
      <c r="G12" s="12"/>
      <c r="H12" s="41" t="s">
        <v>30</v>
      </c>
      <c r="J12" s="23" t="s">
        <v>39</v>
      </c>
      <c r="K12" s="23"/>
      <c r="L12" s="43"/>
      <c r="M12" s="29"/>
      <c r="N12" s="29"/>
      <c r="O12" s="30"/>
      <c r="P12" s="30" t="s">
        <v>40</v>
      </c>
      <c r="Q12" s="30"/>
      <c r="R12" s="30"/>
      <c r="S12" s="68"/>
      <c r="T12" s="43"/>
      <c r="U12" s="27"/>
    </row>
    <row r="13" spans="1:22" ht="36" customHeight="1" thickBot="1" x14ac:dyDescent="0.3">
      <c r="A13" s="54">
        <f>IF(ISBLANK(Distance Control_4),"",Control_4 Distance)</f>
        <v>111.2</v>
      </c>
      <c r="B13" s="55">
        <f>Control_4 Open_time</f>
        <v>44366.469444444447</v>
      </c>
      <c r="C13" s="55">
        <f>Control_4 Close_time</f>
        <v>44366.642361111117</v>
      </c>
      <c r="D13" s="56" t="str">
        <f>IF(ISBLANK(Locale Control_4),"",Locale Control_4)</f>
        <v>Fort Langley</v>
      </c>
      <c r="E13" s="48" t="str">
        <f>IF(ISBLANK(Control_4 Establishment_2),"",Control_4 Establishment_2)</f>
        <v xml:space="preserve">Glover and Mavis. 
</v>
      </c>
      <c r="F13" s="107" t="s">
        <v>75</v>
      </c>
      <c r="G13" s="12"/>
      <c r="H13" s="41" t="s">
        <v>30</v>
      </c>
      <c r="J13" s="23" t="s">
        <v>41</v>
      </c>
      <c r="L13" s="98"/>
      <c r="M13" s="99"/>
      <c r="N13" s="99"/>
      <c r="O13" s="31"/>
      <c r="P13" s="30" t="s">
        <v>42</v>
      </c>
      <c r="Q13" s="30"/>
      <c r="R13" s="44"/>
      <c r="S13" s="32"/>
      <c r="T13" s="32"/>
      <c r="U13" s="28"/>
    </row>
    <row r="14" spans="1:22" ht="36" customHeight="1" thickBot="1" x14ac:dyDescent="0.25">
      <c r="A14" s="49"/>
      <c r="B14" s="50">
        <f>Control_4 Open_time</f>
        <v>44366.469444444447</v>
      </c>
      <c r="C14" s="50">
        <f>Control_4 Close_time</f>
        <v>44366.642361111117</v>
      </c>
      <c r="D14" s="51"/>
      <c r="E14" s="52" t="str">
        <f>IF(ISBLANK(Control_4 Establishment_3),"",Control_4 Establishment_3)</f>
        <v>SE Corner</v>
      </c>
      <c r="F14" s="14"/>
      <c r="G14" s="13"/>
      <c r="H14" s="41" t="s">
        <v>30</v>
      </c>
    </row>
    <row r="15" spans="1:22" ht="36" customHeight="1" x14ac:dyDescent="0.2">
      <c r="A15" s="45"/>
      <c r="B15" s="46">
        <f>Control_5 Open_time</f>
        <v>44366.502083333333</v>
      </c>
      <c r="C15" s="46">
        <f>Control_5 Close_time</f>
        <v>44366.715972222228</v>
      </c>
      <c r="D15" s="53"/>
      <c r="E15" s="48" t="str">
        <f>IF(ISBLANK(Control_5 Establishment_1),"",Control_5 Establishment_1)</f>
        <v>Before barrier @ 16 Ave and 164 St</v>
      </c>
      <c r="F15" s="112" t="s">
        <v>85</v>
      </c>
      <c r="G15" s="12"/>
      <c r="H15" s="41" t="s">
        <v>30</v>
      </c>
      <c r="J15" s="23"/>
      <c r="L15" s="130" t="s">
        <v>60</v>
      </c>
      <c r="M15" s="130"/>
      <c r="N15" s="130"/>
      <c r="O15" s="130"/>
      <c r="P15" s="130"/>
      <c r="Q15" s="130"/>
      <c r="R15" s="130"/>
      <c r="S15" s="130"/>
      <c r="T15" s="130"/>
      <c r="U15" s="130"/>
    </row>
    <row r="16" spans="1:22" ht="36" customHeight="1" thickBot="1" x14ac:dyDescent="0.25">
      <c r="A16" s="54">
        <f>IF(ISBLANK(Distance Control_5),"",Control_5 Distance)</f>
        <v>137.80000000000001</v>
      </c>
      <c r="B16" s="55">
        <f>Control_5 Open_time</f>
        <v>44366.502083333333</v>
      </c>
      <c r="C16" s="55">
        <f>Control_5 Close_time</f>
        <v>44366.715972222228</v>
      </c>
      <c r="D16" s="56" t="str">
        <f>IF(ISBLANK(Locale Control_5),"",Locale Control_5)</f>
        <v>Surrey</v>
      </c>
      <c r="E16" s="48" t="str">
        <f>IF(ISBLANK(Control_5 Establishment_2),"",Control_5 Establishment_2)</f>
        <v/>
      </c>
      <c r="F16" s="106" t="s">
        <v>88</v>
      </c>
      <c r="G16" s="12"/>
      <c r="H16" s="41" t="s">
        <v>30</v>
      </c>
      <c r="L16" s="93"/>
      <c r="M16" s="93"/>
      <c r="N16" s="93"/>
      <c r="O16" s="93"/>
      <c r="P16" s="93"/>
      <c r="Q16" s="94"/>
      <c r="R16" s="94"/>
      <c r="S16" s="94"/>
      <c r="T16" s="94"/>
      <c r="U16" s="94"/>
    </row>
    <row r="17" spans="1:22" ht="36" customHeight="1" thickBot="1" x14ac:dyDescent="0.25">
      <c r="A17" s="49"/>
      <c r="B17" s="50">
        <f>Control_5 Open_time</f>
        <v>44366.502083333333</v>
      </c>
      <c r="C17" s="50">
        <f>Control_5 Close_time</f>
        <v>44366.715972222228</v>
      </c>
      <c r="D17" s="51"/>
      <c r="E17" s="52" t="str">
        <f>IF(ISBLANK(Control_5 Establishment_3),"",Control_5 Establishment_3)</f>
        <v/>
      </c>
      <c r="F17" s="109"/>
      <c r="G17" s="13"/>
      <c r="H17" s="41" t="s">
        <v>30</v>
      </c>
    </row>
    <row r="18" spans="1:22" ht="36" customHeight="1" x14ac:dyDescent="0.2">
      <c r="A18" s="45"/>
      <c r="B18" s="46">
        <f>Control_6 Open_time</f>
        <v>44366.536111111112</v>
      </c>
      <c r="C18" s="46">
        <f>Control_6 Close_time</f>
        <v>44366.792361111111</v>
      </c>
      <c r="D18" s="53"/>
      <c r="E18" s="48" t="str">
        <f>IF(ISBLANK(Control_6 Establishment_1),"",Control_6 Establishment_1)</f>
        <v>Bike path @Hwy 17</v>
      </c>
      <c r="F18" s="110" t="s">
        <v>89</v>
      </c>
      <c r="G18" s="12"/>
      <c r="H18" s="41" t="s">
        <v>30</v>
      </c>
    </row>
    <row r="19" spans="1:22" ht="36" customHeight="1" x14ac:dyDescent="0.2">
      <c r="A19" s="54">
        <f>IF(ISBLANK(Distance Control_6),"",Control_6 Distance)</f>
        <v>165.2</v>
      </c>
      <c r="B19" s="55">
        <f>Control_6 Open_time</f>
        <v>44366.536111111112</v>
      </c>
      <c r="C19" s="55">
        <f>Control_6 Close_time</f>
        <v>44366.792361111111</v>
      </c>
      <c r="D19" s="56" t="str">
        <f>IF(ISBLANK(Locale Control_6),"",Locale Control_6)</f>
        <v>Delta</v>
      </c>
      <c r="E19" s="48" t="str">
        <f>IF(ISBLANK(Control_6 Establishment_2),"",Control_6 Establishment_2)</f>
        <v/>
      </c>
      <c r="F19" s="107" t="s">
        <v>72</v>
      </c>
      <c r="G19" s="12"/>
      <c r="H19" s="41" t="s">
        <v>30</v>
      </c>
    </row>
    <row r="20" spans="1:22" ht="36" customHeight="1" thickBot="1" x14ac:dyDescent="0.25">
      <c r="A20" s="49"/>
      <c r="B20" s="50">
        <f>Control_6 Open_time</f>
        <v>44366.536111111112</v>
      </c>
      <c r="C20" s="50">
        <f>Control_6 Close_time</f>
        <v>44366.792361111111</v>
      </c>
      <c r="D20" s="51"/>
      <c r="E20" s="52" t="str">
        <f>IF(ISBLANK(Control_6 Establishment_3),"",Control_6 Establishment_3)</f>
        <v/>
      </c>
      <c r="F20" s="108"/>
      <c r="G20" s="13"/>
      <c r="H20" s="41" t="s">
        <v>30</v>
      </c>
      <c r="J20" s="92" t="s">
        <v>46</v>
      </c>
      <c r="K20" s="92"/>
      <c r="L20" s="95"/>
      <c r="M20" s="95"/>
      <c r="N20" s="95"/>
      <c r="P20" s="30" t="s">
        <v>0</v>
      </c>
      <c r="Q20" s="30"/>
      <c r="S20" s="129">
        <f>'Control Entry'!B8</f>
        <v>0.33333333333333331</v>
      </c>
      <c r="T20" s="129"/>
      <c r="U20" s="129"/>
    </row>
    <row r="21" spans="1:22" ht="36" customHeight="1" x14ac:dyDescent="0.2">
      <c r="A21" s="45"/>
      <c r="B21" s="46">
        <f>Control_7 Open_time</f>
        <v>44366.586111111115</v>
      </c>
      <c r="C21" s="46">
        <f>Control_7 Close_time</f>
        <v>44366.895833333336</v>
      </c>
      <c r="D21" s="53"/>
      <c r="E21" s="48" t="str">
        <f>IF(ISBLANK(Control_7 Establishment_1),"",Control_7 Establishment_1)</f>
        <v>Sanctuary Café</v>
      </c>
      <c r="F21" s="106" t="s">
        <v>76</v>
      </c>
      <c r="G21" s="12"/>
      <c r="H21" s="41" t="s">
        <v>30</v>
      </c>
      <c r="J21" s="92"/>
      <c r="K21" s="92"/>
      <c r="L21" s="90"/>
      <c r="M21" s="90"/>
      <c r="N21" s="90"/>
      <c r="P21" s="30"/>
      <c r="Q21" s="30"/>
      <c r="R21" s="35"/>
      <c r="S21" s="96"/>
      <c r="T21" s="96"/>
      <c r="U21" s="96"/>
      <c r="V21" s="42"/>
    </row>
    <row r="22" spans="1:22" ht="36" customHeight="1" thickBot="1" x14ac:dyDescent="0.25">
      <c r="A22" s="54">
        <f>IF(ISBLANK(Distance Control_7),"",Control_7 Distance)</f>
        <v>206</v>
      </c>
      <c r="B22" s="55">
        <f>Control_7 Open_time</f>
        <v>44366.586111111115</v>
      </c>
      <c r="C22" s="55">
        <f>Control_7 Close_time</f>
        <v>44366.895833333336</v>
      </c>
      <c r="D22" s="56" t="str">
        <f>IF(ISBLANK(Locale Control_7),"",Locale Control_7)</f>
        <v>Richmond</v>
      </c>
      <c r="E22" s="48" t="str">
        <f>IF(ISBLANK(Control_7 Establishment_2),"",Control_7 Establishment_2)</f>
        <v>160-13020 No. 2 Road</v>
      </c>
      <c r="F22" s="107" t="s">
        <v>77</v>
      </c>
      <c r="G22" s="12"/>
      <c r="H22" s="41" t="s">
        <v>30</v>
      </c>
      <c r="J22" s="91" t="s">
        <v>47</v>
      </c>
      <c r="K22" s="91"/>
      <c r="L22" s="95"/>
      <c r="M22" s="95"/>
      <c r="N22" s="95"/>
      <c r="O22" s="31"/>
      <c r="P22" s="30" t="s">
        <v>1</v>
      </c>
      <c r="Q22" s="30"/>
      <c r="R22" s="31"/>
      <c r="S22" s="97"/>
      <c r="T22" s="97"/>
      <c r="U22" s="97"/>
    </row>
    <row r="23" spans="1:22" ht="36" customHeight="1" thickBot="1" x14ac:dyDescent="0.25">
      <c r="A23" s="49"/>
      <c r="B23" s="50">
        <f>Control_7 Open_time</f>
        <v>44366.586111111115</v>
      </c>
      <c r="C23" s="50">
        <f>Control_7 Close_time</f>
        <v>44366.895833333336</v>
      </c>
      <c r="D23" s="51"/>
      <c r="E23" s="52" t="str">
        <f>IF(ISBLANK(Control_7 Establishment_3),"",Control_7 Establishment_3)</f>
        <v/>
      </c>
      <c r="F23" s="108"/>
      <c r="G23" s="13"/>
      <c r="H23" s="41" t="s">
        <v>30</v>
      </c>
      <c r="J23" s="91"/>
      <c r="K23" s="91"/>
      <c r="L23" s="90"/>
      <c r="M23" s="90"/>
      <c r="N23" s="90"/>
      <c r="O23" s="35"/>
      <c r="P23" s="87"/>
      <c r="Q23" s="87"/>
      <c r="R23" s="35"/>
      <c r="S23" s="35"/>
      <c r="T23" s="35"/>
      <c r="U23" s="35"/>
      <c r="V23" s="42"/>
    </row>
    <row r="24" spans="1:22" ht="36" customHeight="1" thickBot="1" x14ac:dyDescent="0.25">
      <c r="A24" s="45"/>
      <c r="B24" s="46" t="str">
        <f>Control_8 Open_time</f>
        <v/>
      </c>
      <c r="C24" s="46" t="str">
        <f>Control_8 Close_time</f>
        <v/>
      </c>
      <c r="D24" s="53"/>
      <c r="E24" s="48" t="str">
        <f>IF(ISBLANK(Control_8 Establishment_1),"",Control_8 Establishment_1)</f>
        <v/>
      </c>
      <c r="F24" s="84"/>
      <c r="G24" s="12"/>
      <c r="H24" s="41" t="s">
        <v>30</v>
      </c>
      <c r="J24" s="24"/>
      <c r="K24" s="24"/>
      <c r="L24" s="24"/>
      <c r="M24" s="32"/>
      <c r="N24" s="32"/>
      <c r="O24" s="31"/>
      <c r="P24" s="30" t="s">
        <v>2</v>
      </c>
      <c r="Q24" s="30"/>
      <c r="R24" s="31"/>
      <c r="S24" s="32"/>
      <c r="T24" s="32"/>
      <c r="U24" s="32"/>
    </row>
    <row r="25" spans="1:22" ht="36" customHeight="1" x14ac:dyDescent="0.2">
      <c r="A25" s="54" t="str">
        <f>IF(ISBLANK(Distance Control_8),"",Control_8 Distance)</f>
        <v/>
      </c>
      <c r="B25" s="55" t="str">
        <f>Control_8 Open_time</f>
        <v/>
      </c>
      <c r="C25" s="55" t="str">
        <f>Control_8 Close_time</f>
        <v/>
      </c>
      <c r="D25" s="56" t="str">
        <f>IF(ISBLANK(Locale Control_8),"",Locale Control_8)</f>
        <v/>
      </c>
      <c r="E25" s="82" t="str">
        <f>IF(ISBLANK(Control_8 Establishment_2),"",Control_8 Establishment_2)</f>
        <v/>
      </c>
      <c r="F25" s="88"/>
      <c r="G25" s="12"/>
      <c r="H25" s="41" t="s">
        <v>30</v>
      </c>
      <c r="J25" s="128" t="s">
        <v>17</v>
      </c>
      <c r="K25" s="128"/>
      <c r="L25" s="128"/>
      <c r="M25" s="128"/>
      <c r="N25" s="128"/>
      <c r="O25" s="74"/>
      <c r="P25" s="117"/>
      <c r="Q25" s="117"/>
      <c r="R25" s="74"/>
      <c r="S25" s="118"/>
      <c r="T25" s="118"/>
      <c r="U25" s="118"/>
      <c r="V25" s="118"/>
    </row>
    <row r="26" spans="1:22" ht="36" customHeight="1" thickBot="1" x14ac:dyDescent="0.25">
      <c r="A26" s="49"/>
      <c r="B26" s="50" t="str">
        <f>Control_8 Open_time</f>
        <v/>
      </c>
      <c r="C26" s="50" t="str">
        <f>Control_8 Close_time</f>
        <v/>
      </c>
      <c r="D26" s="51"/>
      <c r="E26" s="52" t="str">
        <f>IF(ISBLANK(Control_8 Establishment_3),"",Control_8 Establishment_3)</f>
        <v/>
      </c>
      <c r="F26" s="14"/>
      <c r="G26" s="13"/>
      <c r="H26" s="41" t="s">
        <v>30</v>
      </c>
    </row>
    <row r="27" spans="1:22" ht="36" customHeight="1" x14ac:dyDescent="0.2">
      <c r="A27" s="45"/>
      <c r="B27" s="46" t="str">
        <f>Control_9 Open_time</f>
        <v/>
      </c>
      <c r="C27" s="46" t="str">
        <f>Control_9 Close_time</f>
        <v/>
      </c>
      <c r="D27" s="53"/>
      <c r="E27" s="48" t="str">
        <f>IF(ISBLANK(Control_9 Establishment_1),"",Control_9 Establishment_1)</f>
        <v/>
      </c>
      <c r="F27" s="84"/>
      <c r="G27" s="12"/>
      <c r="H27" s="41" t="s">
        <v>30</v>
      </c>
      <c r="K27" s="125" t="s">
        <v>58</v>
      </c>
      <c r="L27" s="117"/>
      <c r="M27" s="73" t="s">
        <v>59</v>
      </c>
      <c r="N27" s="117" t="s">
        <v>51</v>
      </c>
      <c r="O27" s="117"/>
      <c r="P27" s="117" t="s">
        <v>52</v>
      </c>
      <c r="Q27" s="117"/>
      <c r="R27" s="74" t="s">
        <v>53</v>
      </c>
      <c r="S27" s="118" t="s">
        <v>54</v>
      </c>
      <c r="T27" s="118"/>
      <c r="U27" s="118" t="s">
        <v>55</v>
      </c>
      <c r="V27" s="118"/>
    </row>
    <row r="28" spans="1:22" ht="36" customHeight="1" x14ac:dyDescent="0.2">
      <c r="A28" s="54" t="str">
        <f>IF(ISBLANK(Distance Control_9),"",Control_9 Distance)</f>
        <v/>
      </c>
      <c r="B28" s="55" t="str">
        <f>Control_9 Open_time</f>
        <v/>
      </c>
      <c r="C28" s="55" t="str">
        <f>Control_9 Close_time</f>
        <v/>
      </c>
      <c r="D28" s="56" t="str">
        <f>IF(ISBLANK(Locale Control_9),"",Locale Control_9)</f>
        <v/>
      </c>
      <c r="E28" s="48" t="str">
        <f>IF(ISBLANK(Control_9 Establishment_2),"",Control_9 Establishment_2)</f>
        <v/>
      </c>
      <c r="F28" s="88"/>
      <c r="G28" s="12"/>
      <c r="H28" s="41" t="s">
        <v>30</v>
      </c>
    </row>
    <row r="29" spans="1:22" ht="36" customHeight="1" thickBot="1" x14ac:dyDescent="0.25">
      <c r="A29" s="49"/>
      <c r="B29" s="50" t="str">
        <f>Control_9 Open_time</f>
        <v/>
      </c>
      <c r="C29" s="50" t="str">
        <f>Control_9 Close_time</f>
        <v/>
      </c>
      <c r="D29" s="51"/>
      <c r="E29" s="52" t="str">
        <f>IF(ISBLANK(Control_9 Establishment_3),"",Control_9 Establishment_3)</f>
        <v/>
      </c>
      <c r="F29" s="14"/>
      <c r="G29" s="13"/>
      <c r="H29" s="41" t="s">
        <v>30</v>
      </c>
      <c r="M29" s="116" t="s">
        <v>43</v>
      </c>
      <c r="N29" s="116"/>
      <c r="O29" s="116"/>
      <c r="P29" s="116"/>
      <c r="Q29" s="116"/>
      <c r="R29" s="116"/>
      <c r="S29" s="116"/>
      <c r="T29" s="116"/>
      <c r="U29" s="85"/>
    </row>
    <row r="30" spans="1:22" ht="36" customHeight="1" x14ac:dyDescent="0.2">
      <c r="A30" s="45"/>
      <c r="B30" s="46" t="str">
        <f>Control_10 Open_time</f>
        <v/>
      </c>
      <c r="C30" s="46" t="str">
        <f>Control_10 Close_time</f>
        <v/>
      </c>
      <c r="D30" s="53"/>
      <c r="E30" s="48" t="str">
        <f>IF(ISBLANK(Control_10 Establishment_1),"",Control_10 Establishment_1)</f>
        <v/>
      </c>
      <c r="F30" s="84"/>
      <c r="G30" s="12"/>
      <c r="H30" s="41" t="s">
        <v>30</v>
      </c>
      <c r="M30" s="25"/>
      <c r="N30" s="33"/>
      <c r="O30" s="33"/>
      <c r="P30" s="34"/>
      <c r="Q30" s="33"/>
      <c r="R30" s="33"/>
      <c r="S30" s="33"/>
      <c r="T30" s="34"/>
      <c r="U30" s="35"/>
    </row>
    <row r="31" spans="1:22" ht="36" customHeight="1" x14ac:dyDescent="0.2">
      <c r="A31" s="54" t="str">
        <f>IF(ISBLANK(Distance Control_10),"",Control_10 Distance)</f>
        <v/>
      </c>
      <c r="B31" s="55" t="str">
        <f>Control_10 Open_time</f>
        <v/>
      </c>
      <c r="C31" s="55" t="str">
        <f>Control_10 Close_time</f>
        <v/>
      </c>
      <c r="D31" s="56" t="str">
        <f>IF(ISBLANK(Locale Control_10),"",Locale Control_10)</f>
        <v/>
      </c>
      <c r="E31" s="48" t="str">
        <f>IF(ISBLANK(Control_10 Establishment_2),"",Control_10 Establishment_2)</f>
        <v/>
      </c>
      <c r="F31" s="89"/>
      <c r="G31" s="12"/>
      <c r="H31" s="41" t="s">
        <v>30</v>
      </c>
      <c r="M31" s="26"/>
      <c r="N31" s="35"/>
      <c r="O31" s="35"/>
      <c r="P31" s="36"/>
      <c r="Q31" s="35"/>
      <c r="R31" s="35"/>
      <c r="S31" s="35"/>
      <c r="T31" s="36"/>
      <c r="U31" s="35"/>
    </row>
    <row r="32" spans="1:22" ht="36" customHeight="1" thickBot="1" x14ac:dyDescent="0.25">
      <c r="A32" s="49"/>
      <c r="B32" s="50" t="str">
        <f>Control_10 Open_time</f>
        <v/>
      </c>
      <c r="C32" s="50" t="str">
        <f>Control_10 Close_time</f>
        <v/>
      </c>
      <c r="D32" s="51"/>
      <c r="E32" s="52" t="str">
        <f>IF(ISBLANK(Control_10 Establishment_3),"",Control_10 Establishment_3)</f>
        <v/>
      </c>
      <c r="F32" s="83"/>
      <c r="G32" s="13"/>
      <c r="H32" s="41" t="s">
        <v>30</v>
      </c>
      <c r="M32" s="81"/>
      <c r="N32" s="32"/>
      <c r="O32" s="32"/>
      <c r="P32" s="37"/>
      <c r="Q32" s="32"/>
      <c r="R32" s="32"/>
      <c r="S32" s="32"/>
      <c r="T32" s="37"/>
      <c r="U32" s="35"/>
    </row>
    <row r="33" spans="1:22" ht="36" customHeight="1" x14ac:dyDescent="0.2">
      <c r="A33" s="124" t="s">
        <v>44</v>
      </c>
      <c r="B33" s="124"/>
      <c r="C33" s="124"/>
      <c r="D33" s="124"/>
      <c r="E33" s="124"/>
      <c r="F33" s="124"/>
      <c r="G33" s="124"/>
      <c r="H33" s="58"/>
      <c r="I33" s="58"/>
      <c r="N33" s="119"/>
      <c r="O33" s="119"/>
      <c r="P33" s="119"/>
      <c r="Q33" s="119"/>
      <c r="R33" s="119"/>
      <c r="S33" s="119"/>
      <c r="T33" s="119"/>
      <c r="U33" s="119"/>
      <c r="V33" s="72"/>
    </row>
    <row r="34" spans="1:22" ht="36" customHeight="1" x14ac:dyDescent="0.2">
      <c r="A34"/>
      <c r="O34" s="70"/>
      <c r="P34" s="70"/>
      <c r="Q34" s="70"/>
      <c r="R34" s="69"/>
    </row>
    <row r="35" spans="1:22" ht="36" customHeight="1" x14ac:dyDescent="0.2">
      <c r="A35"/>
      <c r="N35" s="116"/>
      <c r="O35" s="116"/>
      <c r="P35" s="116"/>
      <c r="Q35" s="116"/>
      <c r="R35" s="116"/>
      <c r="S35" s="116"/>
      <c r="T35" s="116"/>
      <c r="U35" s="116"/>
    </row>
    <row r="36" spans="1:22" ht="36" customHeight="1" x14ac:dyDescent="0.15">
      <c r="A36"/>
      <c r="N36" s="42"/>
      <c r="O36" s="35"/>
      <c r="P36" s="35"/>
      <c r="Q36" s="35"/>
      <c r="R36" s="35"/>
      <c r="S36" s="35"/>
      <c r="T36" s="35"/>
      <c r="U36" s="35"/>
    </row>
    <row r="37" spans="1:22" ht="36" customHeight="1" x14ac:dyDescent="0.15">
      <c r="A37"/>
      <c r="N37" s="42"/>
      <c r="O37" s="35"/>
      <c r="P37" s="35"/>
      <c r="Q37" s="35"/>
      <c r="R37" s="35"/>
      <c r="S37" s="35"/>
      <c r="T37" s="35"/>
      <c r="U37" s="35"/>
    </row>
    <row r="38" spans="1:22" ht="36" customHeight="1" x14ac:dyDescent="0.2">
      <c r="A38"/>
      <c r="N38" s="86"/>
      <c r="O38" s="35"/>
      <c r="P38" s="35"/>
      <c r="Q38" s="35"/>
      <c r="R38" s="35"/>
      <c r="S38" s="35"/>
      <c r="T38" s="35"/>
      <c r="U38" s="35"/>
    </row>
    <row r="39" spans="1:22" ht="36" customHeight="1" x14ac:dyDescent="0.15">
      <c r="A39"/>
    </row>
    <row r="40" spans="1:22" ht="36" customHeight="1" x14ac:dyDescent="0.15">
      <c r="A40"/>
    </row>
  </sheetData>
  <mergeCells count="24">
    <mergeCell ref="R5:U5"/>
    <mergeCell ref="K2:U2"/>
    <mergeCell ref="L8:Q8"/>
    <mergeCell ref="A1:G1"/>
    <mergeCell ref="A33:G33"/>
    <mergeCell ref="M4:T4"/>
    <mergeCell ref="N3:S3"/>
    <mergeCell ref="P25:Q25"/>
    <mergeCell ref="S25:T25"/>
    <mergeCell ref="U25:V25"/>
    <mergeCell ref="N5:O5"/>
    <mergeCell ref="K27:L27"/>
    <mergeCell ref="J25:N25"/>
    <mergeCell ref="S20:U20"/>
    <mergeCell ref="L15:U15"/>
    <mergeCell ref="L6:U6"/>
    <mergeCell ref="T8:U8"/>
    <mergeCell ref="N35:U35"/>
    <mergeCell ref="M29:T29"/>
    <mergeCell ref="N27:O27"/>
    <mergeCell ref="P27:Q27"/>
    <mergeCell ref="S27:T27"/>
    <mergeCell ref="U27:V27"/>
    <mergeCell ref="N33:U33"/>
  </mergeCells>
  <phoneticPr fontId="16" type="noConversion"/>
  <printOptions horizontalCentered="1" verticalCentered="1"/>
  <pageMargins left="0.1" right="0.1" top="0.1" bottom="0.1" header="0.51" footer="0.31"/>
  <pageSetup scale="45" orientation="landscape" horizontalDpi="4294967292" verticalDpi="4294967292" r:id="rId1"/>
  <drawing r:id="rId2"/>
  <extLst>
    <ext xmlns:mx="http://schemas.microsoft.com/office/mac/excel/2008/main" uri="{64002731-A6B0-56B0-2670-7721B7C09600}">
      <mx:PLV Mode="0" OnePage="0" WScale="5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28</vt:i4>
      </vt:variant>
    </vt:vector>
  </HeadingPairs>
  <TitlesOfParts>
    <vt:vector size="30" baseType="lpstr">
      <vt:lpstr>Control Entry</vt:lpstr>
      <vt:lpstr>Control Card</vt:lpstr>
      <vt:lpstr>brevet</vt:lpstr>
      <vt:lpstr>Brevet_Description</vt:lpstr>
      <vt:lpstr>Brevet_Length</vt:lpstr>
      <vt:lpstr>Brevet_Number</vt:lpstr>
      <vt:lpstr>Close</vt:lpstr>
      <vt:lpstr>Close_time</vt:lpstr>
      <vt:lpstr>Control_1</vt:lpstr>
      <vt:lpstr>Control_10</vt:lpstr>
      <vt:lpstr>Control_2</vt:lpstr>
      <vt:lpstr>Control_3</vt:lpstr>
      <vt:lpstr>Control_4</vt:lpstr>
      <vt:lpstr>Control_5</vt:lpstr>
      <vt:lpstr>Control_6</vt:lpstr>
      <vt:lpstr>Control_7</vt:lpstr>
      <vt:lpstr>Control_8</vt:lpstr>
      <vt:lpstr>Control_9</vt:lpstr>
      <vt:lpstr>Distance</vt:lpstr>
      <vt:lpstr>Establishment_1</vt:lpstr>
      <vt:lpstr>Establishment_2</vt:lpstr>
      <vt:lpstr>Establishment_3</vt:lpstr>
      <vt:lpstr>Locale</vt:lpstr>
      <vt:lpstr>Max_time</vt:lpstr>
      <vt:lpstr>Open</vt:lpstr>
      <vt:lpstr>Open_time</vt:lpstr>
      <vt:lpstr>'Control Card'!Print_Area</vt:lpstr>
      <vt:lpstr>'Control Card'!Print_Titles</vt:lpstr>
      <vt:lpstr>Start_date</vt:lpstr>
      <vt:lpstr>Start_time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Hinde</dc:creator>
  <cp:lastModifiedBy>Stephen Hinde</cp:lastModifiedBy>
  <cp:lastPrinted>2021-06-13T20:42:21Z</cp:lastPrinted>
  <dcterms:created xsi:type="dcterms:W3CDTF">1997-11-12T04:43:39Z</dcterms:created>
  <dcterms:modified xsi:type="dcterms:W3CDTF">2021-06-14T20:37:07Z</dcterms:modified>
</cp:coreProperties>
</file>