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docs.live.net/4594bdf65625237d/Documents/Colin/Rando/2024 Season/LM 1000 Williams Lake/"/>
    </mc:Choice>
  </mc:AlternateContent>
  <xr:revisionPtr revIDLastSave="0" documentId="13_ncr:20001_{B486A3D3-9C16-45CE-B48A-1F9D0E6D9320}" xr6:coauthVersionLast="47" xr6:coauthVersionMax="47" xr10:uidLastSave="{00000000-0000-0000-0000-000000000000}"/>
  <bookViews>
    <workbookView xWindow="-108" yWindow="-108" windowWidth="23256" windowHeight="12576" tabRatio="500" activeTab="1" xr2:uid="{00000000-000D-0000-FFFF-FFFF00000000}"/>
  </bookViews>
  <sheets>
    <sheet name="Control Entry" sheetId="1" r:id="rId1"/>
    <sheet name="Card #1" sheetId="2" r:id="rId2"/>
    <sheet name="Card #2" sheetId="3"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1252</definedName>
    <definedName name="HTML_Control">{"'Web sheet'!$A$1:$D$92"}</definedName>
    <definedName name="HTML_Description">""</definedName>
    <definedName name="HTML_Email">"randos@island.net"</definedName>
    <definedName name="HTML_Header">"Web sheet"</definedName>
    <definedName name="HTML_LastUpdate">"99-03-06"</definedName>
    <definedName name="HTML_LineAfter">TRUE()</definedName>
    <definedName name="HTML_LineBefore">TRUE()</definedName>
    <definedName name="HTML_Name">"Stephen Hinde"</definedName>
    <definedName name="HTML_OBDlg2">TRUE()</definedName>
    <definedName name="HTML_OBDlg4">TRUE()</definedName>
    <definedName name="HTML_OS">0</definedName>
    <definedName name="HTML_PathFile">"C:\My Documents\excel\MyHTML.htm"</definedName>
    <definedName name="HTML_Title">"VI0100B Nanaimo Populaire"</definedName>
    <definedName name="HTML1_1">"'[vi0100b.xls]VI0100B 970310'!$A$3:$D$22"</definedName>
    <definedName name="HTML1_10">"randos@island.net"</definedName>
    <definedName name="HTML1_11">1</definedName>
    <definedName name="HTML1_12">"C:\My Documents\Web Page\vi0100b.htm"</definedName>
    <definedName name="HTML1_2">1</definedName>
    <definedName name="HTML1_3">"100 km Populaire"</definedName>
    <definedName name="HTML1_4">"VI0100B 970310"</definedName>
    <definedName name="HTML1_5">"Nanaimo--Lantzville--Nanaimo--Yellow Point--Nanaimo"</definedName>
    <definedName name="HTML1_6">1</definedName>
    <definedName name="HTML1_7">1</definedName>
    <definedName name="HTML1_8">"26/10/97"</definedName>
    <definedName name="HTML1_9">"Stephen Hinde"</definedName>
    <definedName name="HTML2_1">"'[vi0100b.xls]VI0100B 970310'!$A$1:$D$22"</definedName>
    <definedName name="HTML2_10">"randos@island.net"</definedName>
    <definedName name="HTML2_11">1</definedName>
    <definedName name="HTML2_12">"C:\My Documents\Web Page\vi0100b.htm"</definedName>
    <definedName name="HTML2_2">1</definedName>
    <definedName name="HTML2_3">"100 km Populaire"</definedName>
    <definedName name="HTML2_4">"VI0100B 970310"</definedName>
    <definedName name="HTML2_5">"Nanaimo--Lantzville--Nanaimo--Yellow Point--Nanaimo"</definedName>
    <definedName name="HTML2_6">1</definedName>
    <definedName name="HTML2_7">1</definedName>
    <definedName name="HTML2_8">"26/10/97"</definedName>
    <definedName name="HTML2_9">"Stephen Hinde"</definedName>
    <definedName name="HTML3_1">"'[vi0100b.xls]VI0100B 970310'!$A$1:$D$24"</definedName>
    <definedName name="HTML3_10">"randos@island.net"</definedName>
    <definedName name="HTML3_11">1</definedName>
    <definedName name="HTML3_12">"C:\My Documents\excel\vi0100b.htm"</definedName>
    <definedName name="HTML3_2">1</definedName>
    <definedName name="HTML3_3">"Vancouver Island Populaire"</definedName>
    <definedName name="HTML3_4">"VI0100B 970310"</definedName>
    <definedName name="HTML3_5">"Nanaimo--Lantzville--Yellow Point--Nanaimo"</definedName>
    <definedName name="HTML3_6">1</definedName>
    <definedName name="HTML3_7">1</definedName>
    <definedName name="HTML3_8">"26/10/97"</definedName>
    <definedName name="HTML3_9">"Stephen Hinde"</definedName>
    <definedName name="HTML4_1">"'[VI0100B.xls]VI0100B 971026'!$A$1:$I$47"</definedName>
    <definedName name="HTML4_10">""</definedName>
    <definedName name="HTML4_11">1</definedName>
    <definedName name="HTML4_12">"C:\My Documents\Web Page\VI0100B.htm"</definedName>
    <definedName name="HTML4_2">1</definedName>
    <definedName name="HTML4_3">"VI0100B"</definedName>
    <definedName name="HTML4_4">"VI0100B 971026"</definedName>
    <definedName name="HTML4_5">""</definedName>
    <definedName name="HTML4_6">-4146</definedName>
    <definedName name="HTML4_7">-4146</definedName>
    <definedName name="HTML4_8">"26/10/97"</definedName>
    <definedName name="HTML4_9">"Stephen Hinde"</definedName>
    <definedName name="HTML5_1">"'[VI0100B.xls]VI0100B 971026'!$A$1:$I$23"</definedName>
    <definedName name="HTML5_10">""</definedName>
    <definedName name="HTML5_11">1</definedName>
    <definedName name="HTML5_12">"C:\My Documents\Web Page\VI0100B top.htm"</definedName>
    <definedName name="HTML5_2">1</definedName>
    <definedName name="HTML5_3">"VI0100B"</definedName>
    <definedName name="HTML5_4">"VI0100B 971026"</definedName>
    <definedName name="HTML5_5">""</definedName>
    <definedName name="HTML5_6">-4146</definedName>
    <definedName name="HTML5_7">-4146</definedName>
    <definedName name="HTML5_8">"97-10-26"</definedName>
    <definedName name="HTML5_9">"Stephen Hinde"</definedName>
    <definedName name="HTML6_1">"'[VI0100B.xls]VI0100B 971026'!$A$25:$I$47"</definedName>
    <definedName name="HTML6_10">""</definedName>
    <definedName name="HTML6_11">1</definedName>
    <definedName name="HTML6_12">"C:\My Documents\Web Page\VI0100B bottom"</definedName>
    <definedName name="HTML6_2">1</definedName>
    <definedName name="HTML6_3">"VI0100B"</definedName>
    <definedName name="HTML6_4">"VI0100B 971026"</definedName>
    <definedName name="HTML6_5">""</definedName>
    <definedName name="HTML6_6">-4146</definedName>
    <definedName name="HTML6_7">-4146</definedName>
    <definedName name="HTML6_8">"97-10-26"</definedName>
    <definedName name="HTML6_9">"Stephen Hinde"</definedName>
    <definedName name="HTML7_1">"'[VI0200A  Tour of Cowichan Valley.xls]Web sheet'!$A$1:$E$92"</definedName>
    <definedName name="HTML7_10">"randos@island.net"</definedName>
    <definedName name="HTML7_11">1</definedName>
    <definedName name="HTML7_12">"C:\My Documents\Web Page\200km_route_sheet.htm"</definedName>
    <definedName name="HTML7_2">1</definedName>
    <definedName name="HTML7_3">"VI0200A  Tour of Cowichan Valley"</definedName>
    <definedName name="HTML7_4">"Vancouver Island 200 km Brevet"</definedName>
    <definedName name="HTML7_5">""</definedName>
    <definedName name="HTML7_6">1</definedName>
    <definedName name="HTML7_7">1</definedName>
    <definedName name="HTML7_8">"97-11-23"</definedName>
    <definedName name="HTML7_9">"Stephen Hinde"</definedName>
    <definedName name="HTML8_1">"'[VI0300A  Duncan--Victoria.xls]Web sheet'!$A$1:$E$161"</definedName>
    <definedName name="HTML8_10">"randos@island.net"</definedName>
    <definedName name="HTML8_11">1</definedName>
    <definedName name="HTML8_12">"C:\My Documents\Web Page\300km_route_sheet_duncan.htm"</definedName>
    <definedName name="HTML8_2">1</definedName>
    <definedName name="HTML8_3">"VI0300A  Duncan--Victoria"</definedName>
    <definedName name="HTML8_4">"Web sheet"</definedName>
    <definedName name="HTML8_5">""</definedName>
    <definedName name="HTML8_6">1</definedName>
    <definedName name="HTML8_7">1</definedName>
    <definedName name="HTML8_8">"98-01-25"</definedName>
    <definedName name="HTML8_9">"Stephen Hinde"</definedName>
    <definedName name="HTMLCount">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#1'!$A$1:$K$58</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40" i="2" l="1"/>
  <c r="C54" i="3"/>
  <c r="J52" i="3"/>
  <c r="G50" i="3"/>
  <c r="F50" i="3"/>
  <c r="G49" i="3"/>
  <c r="F49" i="3"/>
  <c r="E49" i="3"/>
  <c r="B49" i="3"/>
  <c r="G48" i="3"/>
  <c r="F48" i="3"/>
  <c r="G47" i="3"/>
  <c r="F47" i="3"/>
  <c r="G46" i="3"/>
  <c r="F46" i="3"/>
  <c r="E46" i="3"/>
  <c r="B46" i="3"/>
  <c r="G45" i="3"/>
  <c r="F45" i="3"/>
  <c r="G44" i="3"/>
  <c r="F44" i="3"/>
  <c r="G43" i="3"/>
  <c r="F43" i="3"/>
  <c r="E43" i="3"/>
  <c r="B43" i="3"/>
  <c r="G42" i="3"/>
  <c r="F42" i="3"/>
  <c r="G41" i="3"/>
  <c r="F41" i="3"/>
  <c r="G40" i="3"/>
  <c r="F40" i="3"/>
  <c r="E40" i="3"/>
  <c r="B40" i="3"/>
  <c r="G39" i="3"/>
  <c r="F39" i="3"/>
  <c r="G38" i="3"/>
  <c r="F38" i="3"/>
  <c r="G37" i="3"/>
  <c r="F37" i="3"/>
  <c r="E37" i="3"/>
  <c r="B37" i="3"/>
  <c r="G36" i="3"/>
  <c r="F36" i="3"/>
  <c r="G35" i="3"/>
  <c r="F35" i="3"/>
  <c r="G34" i="3"/>
  <c r="F34" i="3"/>
  <c r="E34" i="3"/>
  <c r="B34" i="3"/>
  <c r="G33" i="3"/>
  <c r="F33" i="3"/>
  <c r="G32" i="3"/>
  <c r="F32" i="3"/>
  <c r="G31" i="3"/>
  <c r="F31" i="3"/>
  <c r="E31" i="3"/>
  <c r="B31" i="3"/>
  <c r="G30" i="3"/>
  <c r="F30" i="3"/>
  <c r="G29" i="3"/>
  <c r="F29" i="3"/>
  <c r="G28" i="3"/>
  <c r="F28" i="3"/>
  <c r="E28" i="3"/>
  <c r="B28" i="3"/>
  <c r="G27" i="3"/>
  <c r="F27" i="3"/>
  <c r="G26" i="3"/>
  <c r="F26" i="3"/>
  <c r="G25" i="3"/>
  <c r="F25" i="3"/>
  <c r="E25" i="3"/>
  <c r="B25" i="3"/>
  <c r="G24" i="3"/>
  <c r="F24" i="3"/>
  <c r="G23" i="3"/>
  <c r="F23" i="3"/>
  <c r="G22" i="3"/>
  <c r="F22" i="3"/>
  <c r="E22" i="3"/>
  <c r="B22" i="3"/>
  <c r="G21" i="3"/>
  <c r="F21" i="3"/>
  <c r="I12" i="3"/>
  <c r="F12" i="3"/>
  <c r="E5" i="3"/>
  <c r="E4" i="3"/>
  <c r="J3" i="3"/>
  <c r="J2" i="3"/>
  <c r="C57" i="2"/>
  <c r="J55" i="2"/>
  <c r="G53" i="2"/>
  <c r="F53" i="2"/>
  <c r="G52" i="2"/>
  <c r="F52" i="2"/>
  <c r="E52" i="2"/>
  <c r="B52" i="2"/>
  <c r="G51" i="2"/>
  <c r="F51" i="2"/>
  <c r="G50" i="2"/>
  <c r="F50" i="2"/>
  <c r="G49" i="2"/>
  <c r="F49" i="2"/>
  <c r="E49" i="2"/>
  <c r="B49" i="2"/>
  <c r="G48" i="2"/>
  <c r="F48" i="2"/>
  <c r="G47" i="2"/>
  <c r="F47" i="2"/>
  <c r="G46" i="2"/>
  <c r="F46" i="2"/>
  <c r="E46" i="2"/>
  <c r="B46" i="2"/>
  <c r="G45" i="2"/>
  <c r="F45" i="2"/>
  <c r="G44" i="2"/>
  <c r="F44" i="2"/>
  <c r="G43" i="2"/>
  <c r="F43" i="2"/>
  <c r="E43" i="2"/>
  <c r="B43" i="2"/>
  <c r="G42" i="2"/>
  <c r="F42" i="2"/>
  <c r="G41" i="2"/>
  <c r="F41" i="2"/>
  <c r="G40" i="2"/>
  <c r="F40" i="2"/>
  <c r="E40" i="2"/>
  <c r="G39" i="2"/>
  <c r="F39" i="2"/>
  <c r="G35" i="2"/>
  <c r="F35" i="2"/>
  <c r="G34" i="2"/>
  <c r="F34" i="2"/>
  <c r="E34" i="2"/>
  <c r="B34" i="2"/>
  <c r="G33" i="2"/>
  <c r="F33" i="2"/>
  <c r="G32" i="2"/>
  <c r="F32" i="2"/>
  <c r="G31" i="2"/>
  <c r="F31" i="2"/>
  <c r="E31" i="2"/>
  <c r="B31" i="2"/>
  <c r="G30" i="2"/>
  <c r="F30" i="2"/>
  <c r="G29" i="2"/>
  <c r="F29" i="2"/>
  <c r="G28" i="2"/>
  <c r="F28" i="2"/>
  <c r="E28" i="2"/>
  <c r="B28" i="2"/>
  <c r="G27" i="2"/>
  <c r="F27" i="2"/>
  <c r="G26" i="2"/>
  <c r="F26" i="2"/>
  <c r="G25" i="2"/>
  <c r="F25" i="2"/>
  <c r="E25" i="2"/>
  <c r="B25" i="2"/>
  <c r="G24" i="2"/>
  <c r="F24" i="2"/>
  <c r="G23" i="2"/>
  <c r="F23" i="2"/>
  <c r="G22" i="2"/>
  <c r="F22" i="2"/>
  <c r="E22" i="2"/>
  <c r="B22" i="2"/>
  <c r="G21" i="2"/>
  <c r="F21" i="2"/>
  <c r="I12" i="2"/>
  <c r="F12" i="2"/>
  <c r="E5" i="2"/>
  <c r="E4" i="2"/>
  <c r="J3" i="2"/>
  <c r="J2" i="2"/>
  <c r="O37" i="1"/>
  <c r="D48" i="3" s="1"/>
  <c r="N37" i="1"/>
  <c r="C48" i="3" s="1"/>
  <c r="M37" i="1"/>
  <c r="L37" i="1"/>
  <c r="O36" i="1"/>
  <c r="D45" i="3" s="1"/>
  <c r="N36" i="1"/>
  <c r="C46" i="3" s="1"/>
  <c r="M36" i="1"/>
  <c r="L36" i="1"/>
  <c r="O35" i="1"/>
  <c r="D43" i="3" s="1"/>
  <c r="N35" i="1"/>
  <c r="C43" i="3" s="1"/>
  <c r="M35" i="1"/>
  <c r="L35" i="1"/>
  <c r="O34" i="1"/>
  <c r="D40" i="3" s="1"/>
  <c r="N34" i="1"/>
  <c r="C40" i="3" s="1"/>
  <c r="M34" i="1"/>
  <c r="L34" i="1"/>
  <c r="O33" i="1"/>
  <c r="D38" i="3" s="1"/>
  <c r="N33" i="1"/>
  <c r="C38" i="3" s="1"/>
  <c r="M33" i="1"/>
  <c r="L33" i="1"/>
  <c r="O32" i="1"/>
  <c r="D33" i="3" s="1"/>
  <c r="N32" i="1"/>
  <c r="C33" i="3" s="1"/>
  <c r="M32" i="1"/>
  <c r="L32" i="1"/>
  <c r="O31" i="1"/>
  <c r="D30" i="3" s="1"/>
  <c r="N31" i="1"/>
  <c r="C30" i="3" s="1"/>
  <c r="M31" i="1"/>
  <c r="L31" i="1"/>
  <c r="O30" i="1"/>
  <c r="D27" i="3" s="1"/>
  <c r="N30" i="1"/>
  <c r="C28" i="3" s="1"/>
  <c r="M30" i="1"/>
  <c r="L30" i="1"/>
  <c r="O29" i="1"/>
  <c r="D25" i="3" s="1"/>
  <c r="N29" i="1"/>
  <c r="C25" i="3" s="1"/>
  <c r="M29" i="1"/>
  <c r="L29" i="1"/>
  <c r="M28" i="1"/>
  <c r="O28" i="1" s="1"/>
  <c r="D22" i="3" s="1"/>
  <c r="L28" i="1"/>
  <c r="N28" i="1" s="1"/>
  <c r="C22" i="3" s="1"/>
  <c r="L24" i="1"/>
  <c r="L23" i="1"/>
  <c r="M22" i="1"/>
  <c r="L22" i="1"/>
  <c r="M21" i="1"/>
  <c r="L21" i="1"/>
  <c r="L20" i="1"/>
  <c r="N20" i="1" s="1"/>
  <c r="M19" i="1"/>
  <c r="L19" i="1"/>
  <c r="M18" i="1"/>
  <c r="L18" i="1"/>
  <c r="N17" i="1"/>
  <c r="C28" i="2" s="1"/>
  <c r="L17" i="1"/>
  <c r="M16" i="1"/>
  <c r="L16" i="1"/>
  <c r="N15" i="1"/>
  <c r="N23" i="1" s="1"/>
  <c r="C48" i="2" s="1"/>
  <c r="M15" i="1"/>
  <c r="O15" i="1" s="1"/>
  <c r="L15" i="1"/>
  <c r="L7" i="1"/>
  <c r="B7" i="1"/>
  <c r="M24" i="1" s="1"/>
  <c r="C6" i="1"/>
  <c r="M23" i="1" s="1"/>
  <c r="C39" i="2" l="1"/>
  <c r="O23" i="1"/>
  <c r="D49" i="2" s="1"/>
  <c r="C49" i="2"/>
  <c r="D21" i="2"/>
  <c r="D23" i="2"/>
  <c r="D22" i="2"/>
  <c r="O24" i="1"/>
  <c r="N18" i="1"/>
  <c r="C29" i="2"/>
  <c r="C50" i="2"/>
  <c r="C23" i="3"/>
  <c r="D28" i="3"/>
  <c r="C36" i="3"/>
  <c r="C41" i="3"/>
  <c r="D46" i="3"/>
  <c r="D23" i="3"/>
  <c r="C31" i="3"/>
  <c r="D36" i="3"/>
  <c r="D41" i="3"/>
  <c r="C49" i="3"/>
  <c r="C40" i="2"/>
  <c r="N16" i="1"/>
  <c r="N19" i="1"/>
  <c r="N22" i="1"/>
  <c r="C27" i="2"/>
  <c r="C21" i="3"/>
  <c r="C26" i="3"/>
  <c r="D31" i="3"/>
  <c r="C39" i="3"/>
  <c r="C44" i="3"/>
  <c r="D49" i="3"/>
  <c r="O16" i="1"/>
  <c r="O19" i="1"/>
  <c r="O22" i="1"/>
  <c r="C22" i="2"/>
  <c r="D21" i="3"/>
  <c r="D26" i="3"/>
  <c r="C34" i="3"/>
  <c r="D39" i="3"/>
  <c r="D44" i="3"/>
  <c r="C24" i="3"/>
  <c r="C29" i="3"/>
  <c r="D34" i="3"/>
  <c r="C42" i="3"/>
  <c r="C47" i="3"/>
  <c r="M17" i="1"/>
  <c r="O17" i="1" s="1"/>
  <c r="M20" i="1"/>
  <c r="O20" i="1" s="1"/>
  <c r="D24" i="3"/>
  <c r="D29" i="3"/>
  <c r="C37" i="3"/>
  <c r="D42" i="3"/>
  <c r="D47" i="3"/>
  <c r="C41" i="2"/>
  <c r="C27" i="3"/>
  <c r="C32" i="3"/>
  <c r="D37" i="3"/>
  <c r="C45" i="3"/>
  <c r="C50" i="3"/>
  <c r="D32" i="3"/>
  <c r="D50" i="3"/>
  <c r="C23" i="2"/>
  <c r="C35" i="3"/>
  <c r="D35" i="3"/>
  <c r="N21" i="1"/>
  <c r="C21" i="2"/>
  <c r="N24" i="1"/>
  <c r="O18" i="1"/>
  <c r="O21" i="1"/>
  <c r="D50" i="2" l="1"/>
  <c r="D48" i="2"/>
  <c r="C47" i="2"/>
  <c r="C46" i="2"/>
  <c r="C45" i="2"/>
  <c r="D41" i="2"/>
  <c r="D39" i="2"/>
  <c r="D40" i="2"/>
  <c r="C34" i="2"/>
  <c r="C33" i="2"/>
  <c r="C35" i="2"/>
  <c r="D47" i="2"/>
  <c r="D46" i="2"/>
  <c r="D45" i="2"/>
  <c r="C26" i="2"/>
  <c r="C25" i="2"/>
  <c r="C24" i="2"/>
  <c r="D28" i="2"/>
  <c r="D29" i="2"/>
  <c r="D27" i="2"/>
  <c r="D42" i="2"/>
  <c r="D44" i="2"/>
  <c r="D43" i="2"/>
  <c r="D52" i="2"/>
  <c r="D51" i="2"/>
  <c r="D53" i="2"/>
  <c r="C52" i="2"/>
  <c r="C51" i="2"/>
  <c r="C53" i="2"/>
  <c r="C30" i="2"/>
  <c r="C32" i="2"/>
  <c r="C31" i="2"/>
  <c r="D26" i="2"/>
  <c r="D25" i="2"/>
  <c r="D24" i="2"/>
  <c r="D31" i="2"/>
  <c r="D30" i="2"/>
  <c r="D32" i="2"/>
  <c r="D33" i="2"/>
  <c r="D35" i="2"/>
  <c r="D34" i="2"/>
  <c r="C42" i="2"/>
  <c r="C44" i="2"/>
  <c r="C4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Dara Poon</author>
  </authors>
  <commentList>
    <comment ref="B4" authorId="0" shapeId="0" xr:uid="{00000000-0006-0000-0000-000001000000}">
      <text>
        <r>
          <rPr>
            <sz val="10"/>
            <rFont val="Arial"/>
            <family val="2"/>
          </rPr>
          <t>Stephen Hinde:</t>
        </r>
        <r>
          <rPr>
            <sz val="10"/>
            <color rgb="FF000000"/>
            <rFont val="Tahoma"/>
            <family val="2"/>
            <charset val="1"/>
          </rPr>
          <t xml:space="preserve">Revision date of the brevet details on this sheet
</t>
        </r>
      </text>
    </comment>
    <comment ref="B6" authorId="0" shapeId="0" xr:uid="{00000000-0006-0000-0000-000002000000}">
      <text>
        <r>
          <rPr>
            <sz val="10"/>
            <rFont val="Arial"/>
            <family val="2"/>
          </rPr>
          <t xml:space="preserve">Stephen Hinde:
</t>
        </r>
        <r>
          <rPr>
            <sz val="10"/>
            <color rgb="FF000000"/>
            <rFont val="Tahoma"/>
            <family val="2"/>
            <charset val="1"/>
          </rPr>
          <t xml:space="preserve">Nominal ACP distance
1200, 1000, 600, 400, 300, 200, 150, 100, 50, 25
</t>
        </r>
      </text>
    </comment>
    <comment ref="B7" authorId="0" shapeId="0" xr:uid="{00000000-0006-0000-0000-000003000000}">
      <text>
        <r>
          <rPr>
            <sz val="10"/>
            <rFont val="Arial"/>
            <family val="2"/>
          </rPr>
          <t>Autocalculated based on ACP specified times</t>
        </r>
      </text>
    </comment>
    <comment ref="B8" authorId="0" shapeId="0" xr:uid="{00000000-0006-0000-0000-000004000000}">
      <text>
        <r>
          <rPr>
            <sz val="10"/>
            <rFont val="Arial"/>
            <family val="2"/>
          </rPr>
          <t xml:space="preserve">Stephen Hinde:
</t>
        </r>
        <r>
          <rPr>
            <sz val="10"/>
            <color rgb="FF000000"/>
            <rFont val="Tahoma"/>
            <family val="2"/>
            <charset val="1"/>
          </rPr>
          <t xml:space="preserve">Name of event
</t>
        </r>
      </text>
    </comment>
    <comment ref="B10" authorId="0" shapeId="0" xr:uid="{00000000-0006-0000-0000-000005000000}">
      <text>
        <r>
          <rPr>
            <sz val="10"/>
            <rFont val="Arial"/>
            <family val="2"/>
          </rPr>
          <t xml:space="preserve">Stephen Hinde:
</t>
        </r>
        <r>
          <rPr>
            <sz val="10"/>
            <color rgb="FF000000"/>
            <rFont val="Tahoma"/>
            <family val="2"/>
            <charset val="1"/>
          </rPr>
          <t>Official ACP date</t>
        </r>
      </text>
    </comment>
    <comment ref="F10" authorId="0" shapeId="0" xr:uid="{00000000-0006-0000-0000-000008000000}">
      <text>
        <r>
          <rPr>
            <sz val="10"/>
            <rFont val="Arial"/>
            <family val="2"/>
          </rPr>
          <t xml:space="preserve">Stephen Hinde:
</t>
        </r>
        <r>
          <rPr>
            <sz val="10"/>
            <color rgb="FF000000"/>
            <rFont val="Tahoma"/>
            <family val="2"/>
            <charset val="1"/>
          </rPr>
          <t xml:space="preserve">Optional.  </t>
        </r>
      </text>
    </comment>
    <comment ref="B12" authorId="0" shapeId="0" xr:uid="{00000000-0006-0000-0000-000006000000}">
      <text>
        <r>
          <rPr>
            <sz val="10"/>
            <rFont val="Arial"/>
            <family val="2"/>
          </rPr>
          <t xml:space="preserve">Stephen Hinde:
</t>
        </r>
        <r>
          <rPr>
            <sz val="10"/>
            <color rgb="FF000000"/>
            <rFont val="Tahoma"/>
            <family val="2"/>
            <charset val="1"/>
          </rPr>
          <t xml:space="preserve">Ride date
</t>
        </r>
      </text>
    </comment>
    <comment ref="B13" authorId="0" shapeId="0" xr:uid="{00000000-0006-0000-0000-000007000000}">
      <text>
        <r>
          <rPr>
            <sz val="10"/>
            <rFont val="Arial"/>
            <family val="2"/>
          </rPr>
          <t xml:space="preserve">Stephen Hinde:
</t>
        </r>
        <r>
          <rPr>
            <sz val="10"/>
            <color rgb="FF000000"/>
            <rFont val="Tahoma"/>
            <family val="2"/>
            <charset val="1"/>
          </rPr>
          <t>24hr clock format
hh:mm</t>
        </r>
      </text>
    </comment>
    <comment ref="F14" authorId="0" shapeId="0" xr:uid="{00000000-0006-0000-0000-000009000000}">
      <text>
        <r>
          <rPr>
            <sz val="10"/>
            <rFont val="Arial"/>
            <family val="2"/>
          </rPr>
          <t xml:space="preserve">Stephen Hinde:
</t>
        </r>
        <r>
          <rPr>
            <sz val="10"/>
            <color rgb="FF000000"/>
            <rFont val="Tahoma"/>
            <family val="2"/>
            <charset val="1"/>
          </rPr>
          <t>It is recommended to put the type of control in this space ie 
STAFFED
BUSINESS INFORMATION
SELF CHECK</t>
        </r>
      </text>
    </comment>
  </commentList>
</comments>
</file>

<file path=xl/sharedStrings.xml><?xml version="1.0" encoding="utf-8"?>
<sst xmlns="http://schemas.openxmlformats.org/spreadsheetml/2006/main" count="153" uniqueCount="101">
  <si>
    <t>DO NOT MOVE OR DELETE ROWS OR COLUMNS (delete contents of cells only)</t>
  </si>
  <si>
    <t>Scroll right to see further instructions</t>
  </si>
  <si>
    <t>You can create 2control cards  (upto 20 controls) for one event, or 2control cards (up to 10 controls) with different start loctions for a single event.</t>
  </si>
  <si>
    <t xml:space="preserve">Template Revised:  </t>
  </si>
  <si>
    <t xml:space="preserve">Card Revised:  </t>
  </si>
  <si>
    <t>Brevet Length:</t>
  </si>
  <si>
    <t>Instructions</t>
  </si>
  <si>
    <t>Fill nominal brevet length.  This is the ACP distance eg 200, 300, 1000</t>
  </si>
  <si>
    <t>Maximum Time:</t>
  </si>
  <si>
    <t>Maximum allowable time automatically calculated</t>
  </si>
  <si>
    <t>Brevet Description:</t>
  </si>
  <si>
    <t>LM September 1000 Williams Lake NDTR</t>
  </si>
  <si>
    <t>Enter the brevet name eg 'Remembrance Day Brevet'</t>
  </si>
  <si>
    <t>Brevet Number:</t>
  </si>
  <si>
    <t>Enter the brevet number.  This is the BCR database number, and can be found on the event page in the database</t>
  </si>
  <si>
    <t>Schedule date:</t>
  </si>
  <si>
    <t>Organizer phone #</t>
  </si>
  <si>
    <t>604 721 0309</t>
  </si>
  <si>
    <t>Enter the schedule date.  This is the official ACP listed date and can be found on the shcedule on the website</t>
  </si>
  <si>
    <t>Start Date:</t>
  </si>
  <si>
    <t>Enter the start date.  This will be the same as the schedule date, exceot for pre-rides or unless a ride window has been enabled.</t>
  </si>
  <si>
    <t>Start Time:</t>
  </si>
  <si>
    <t>Control Card #1</t>
  </si>
  <si>
    <t>Control Card #1 Information Control Question (optional)</t>
  </si>
  <si>
    <t>Enter the start time.  This will be the official ACP listed start time found on the event page, unless a ride window has been enabled.</t>
  </si>
  <si>
    <t>Distance</t>
  </si>
  <si>
    <t>Locale</t>
  </si>
  <si>
    <t>Establishment 1</t>
  </si>
  <si>
    <t>Establishment 2</t>
  </si>
  <si>
    <t>Establishment 3</t>
  </si>
  <si>
    <t>Signature/Answer 1</t>
  </si>
  <si>
    <t>Signature/Answer 2</t>
  </si>
  <si>
    <t>Signature/Answer 3</t>
  </si>
  <si>
    <t>Open</t>
  </si>
  <si>
    <t>Close</t>
  </si>
  <si>
    <t>Open time</t>
  </si>
  <si>
    <t>Close time</t>
  </si>
  <si>
    <t>Organizer phone number is optional</t>
  </si>
  <si>
    <t>Control 1</t>
  </si>
  <si>
    <t>West Vancouver</t>
  </si>
  <si>
    <t>Horseshoe Bay ferry terminal</t>
  </si>
  <si>
    <t>6750 Keith Rd</t>
  </si>
  <si>
    <t>Bystander signature</t>
  </si>
  <si>
    <t>Fill in the control distance.  The opening and closing times will be automatically calculated based on the start time and the brevet distance.  If you need more than 10 controls, or need an alternate start loction, use card #2, otherwise leave that section blank.</t>
  </si>
  <si>
    <t>Control 2</t>
  </si>
  <si>
    <t>Squamish</t>
  </si>
  <si>
    <t>Squamish Adventure Centre</t>
  </si>
  <si>
    <t>Fill in the Locale (city) for each control.  Establishment 1, 2, and 3 can be used to describe the control itself eg Locale HOPE  Est.1  BUSINESS Est.2 Dairy Queen Est.3 817 Water Ave .  For a secret control, use SECRET as the locale.</t>
  </si>
  <si>
    <t>Control 3</t>
  </si>
  <si>
    <t>Pemberton</t>
  </si>
  <si>
    <t>Pemberton Visitor Centre</t>
  </si>
  <si>
    <t>When using information controls, you can put your question in the Signature/Answer section eg Sig/Ans.1 Sign on main door  Sig/Ans. 2  This week's special is?  Sig/Ans. 3 ________________</t>
  </si>
  <si>
    <t>Control 4</t>
  </si>
  <si>
    <t>Marble Canyon</t>
  </si>
  <si>
    <t>Marble Canyon Provincial Park</t>
  </si>
  <si>
    <t>Control 5</t>
  </si>
  <si>
    <t>Clinton</t>
  </si>
  <si>
    <t>Any establishment</t>
  </si>
  <si>
    <t>Control 6</t>
  </si>
  <si>
    <t>Williams Lake</t>
  </si>
  <si>
    <t>St. Joseph's Mission</t>
  </si>
  <si>
    <t>Mission Rd</t>
  </si>
  <si>
    <t>Signature from anyone nearby, or photo</t>
  </si>
  <si>
    <t>Control 7</t>
  </si>
  <si>
    <t>Cache Creek</t>
  </si>
  <si>
    <t>Hat Creek Ranch</t>
  </si>
  <si>
    <t>Jackson Rd</t>
  </si>
  <si>
    <t>Control 8</t>
  </si>
  <si>
    <t>Lillooet</t>
  </si>
  <si>
    <t>Control 9</t>
  </si>
  <si>
    <t>Whistler</t>
  </si>
  <si>
    <t>Nesters Market</t>
  </si>
  <si>
    <t>7019 Nesters Rd</t>
  </si>
  <si>
    <t>Control 10</t>
  </si>
  <si>
    <t>Control Card #2</t>
  </si>
  <si>
    <t>Control Card #2 Information Control Question (optional)</t>
  </si>
  <si>
    <t>Founding member of LES RANDONNEURS MONDIAUX (1983)</t>
  </si>
  <si>
    <t>Card revised:</t>
  </si>
  <si>
    <t>Control Card</t>
  </si>
  <si>
    <t>Brevet #</t>
  </si>
  <si>
    <t>Rider:</t>
  </si>
  <si>
    <t>Member #</t>
  </si>
  <si>
    <t>Bicycle Type
Circle one</t>
  </si>
  <si>
    <t>-------&gt;</t>
  </si>
  <si>
    <t>Single     Tandem     Fixed     Recumbent     Velomobile</t>
  </si>
  <si>
    <t>(circle)</t>
  </si>
  <si>
    <t>Start time:</t>
  </si>
  <si>
    <t>Finish Date:</t>
  </si>
  <si>
    <t>Finish time:</t>
  </si>
  <si>
    <t>Elapsed time:</t>
  </si>
  <si>
    <t>Rider's signature at completion</t>
  </si>
  <si>
    <r>
      <rPr>
        <i/>
        <sz val="16"/>
        <rFont val="Arial"/>
        <family val="2"/>
        <charset val="1"/>
      </rPr>
      <t xml:space="preserve">At each control, please </t>
    </r>
    <r>
      <rPr>
        <b/>
        <i/>
        <sz val="16"/>
        <rFont val="Arial"/>
        <family val="2"/>
        <charset val="1"/>
      </rPr>
      <t>have signed or answer question</t>
    </r>
    <r>
      <rPr>
        <i/>
        <sz val="16"/>
        <rFont val="Arial"/>
        <family val="2"/>
        <charset val="1"/>
      </rPr>
      <t xml:space="preserve"> and</t>
    </r>
    <r>
      <rPr>
        <b/>
        <i/>
        <sz val="16"/>
        <rFont val="Arial"/>
        <family val="2"/>
        <charset val="1"/>
      </rPr>
      <t xml:space="preserve"> note time of day</t>
    </r>
  </si>
  <si>
    <t>DIST (km)</t>
  </si>
  <si>
    <t>Establishment</t>
  </si>
  <si>
    <t>Signature/Answer</t>
  </si>
  <si>
    <t>Time of Passage</t>
  </si>
  <si>
    <t>Report results or abandonment through registration email link</t>
  </si>
  <si>
    <t xml:space="preserve">Organizer: </t>
  </si>
  <si>
    <t>Template revised:</t>
  </si>
  <si>
    <t>Townsite</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</si>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</sst>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lt;=9999999]###\-####;###\-###\-####"/>
    <numFmt numFmtId="165" formatCode="0.0"/>
    <numFmt numFmtId="166" formatCode="dd/mmm/yy\ hh:mm\ AM/PM"/>
    <numFmt numFmtId="167" formatCode="mmmm\ d&quot;, &quot;yyyy"/>
    <numFmt numFmtId="168" formatCode="dddd"/>
    <numFmt numFmtId="169" formatCode="d/mmm/yy"/>
  </numFmts>
  <fonts count="29" x14ac:knownFonts="1">
    <font>
      <sz val="10"/>
      <name val="Arial"/>
      <charset val="1"/>
    </font>
    <font>
      <sz val="11"/>
      <color theme="1"/>
      <name val="Calibri"/>
      <family val="2"/>
      <charset val="1"/>
    </font>
    <font>
      <sz val="12"/>
      <color theme="1"/>
      <name val="Calibri"/>
      <family val="2"/>
      <charset val="1"/>
    </font>
    <font>
      <sz val="10"/>
      <name val="Arial"/>
      <family val="2"/>
      <charset val="1"/>
    </font>
    <font>
      <sz val="16"/>
      <color rgb="FFFF0000"/>
      <name val="Arial"/>
      <family val="2"/>
      <charset val="1"/>
    </font>
    <font>
      <sz val="11"/>
      <name val="Arial"/>
      <family val="2"/>
      <charset val="1"/>
    </font>
    <font>
      <sz val="9"/>
      <name val="Arial"/>
      <family val="2"/>
      <charset val="1"/>
    </font>
    <font>
      <sz val="11"/>
      <name val="Arial Narrow"/>
      <family val="2"/>
      <charset val="1"/>
    </font>
    <font>
      <sz val="14"/>
      <name val="Arial Narrow"/>
      <family val="2"/>
      <charset val="1"/>
    </font>
    <font>
      <sz val="14"/>
      <color rgb="FFFF0000"/>
      <name val="Arial"/>
      <family val="2"/>
      <charset val="1"/>
    </font>
    <font>
      <sz val="11"/>
      <color rgb="FFFF0000"/>
      <name val="Arial"/>
      <family val="2"/>
      <charset val="1"/>
    </font>
    <font>
      <sz val="10"/>
      <name val="Arial Narrow"/>
      <family val="2"/>
      <charset val="1"/>
    </font>
    <font>
      <sz val="10"/>
      <name val="Arial"/>
      <family val="2"/>
    </font>
    <font>
      <sz val="10"/>
      <color rgb="FF000000"/>
      <name val="Tahoma"/>
      <family val="2"/>
      <charset val="1"/>
    </font>
    <font>
      <sz val="12"/>
      <name val="Arial"/>
      <family val="2"/>
      <charset val="1"/>
    </font>
    <font>
      <sz val="14"/>
      <name val="Arial"/>
      <family val="2"/>
      <charset val="1"/>
    </font>
    <font>
      <sz val="36"/>
      <name val="Arial"/>
      <family val="2"/>
      <charset val="1"/>
    </font>
    <font>
      <sz val="22"/>
      <name val="Arial"/>
      <family val="2"/>
      <charset val="1"/>
    </font>
    <font>
      <sz val="16"/>
      <name val="Arial"/>
      <family val="2"/>
      <charset val="1"/>
    </font>
    <font>
      <b/>
      <sz val="16"/>
      <name val="Arial"/>
      <family val="2"/>
      <charset val="1"/>
    </font>
    <font>
      <b/>
      <sz val="22"/>
      <name val="Arial"/>
      <family val="2"/>
      <charset val="1"/>
    </font>
    <font>
      <sz val="18"/>
      <name val="Arial"/>
      <family val="2"/>
      <charset val="1"/>
    </font>
    <font>
      <sz val="16"/>
      <name val="Arial Narrow"/>
      <family val="2"/>
      <charset val="1"/>
    </font>
    <font>
      <i/>
      <sz val="16"/>
      <name val="Arial"/>
      <family val="2"/>
      <charset val="1"/>
    </font>
    <font>
      <b/>
      <i/>
      <sz val="16"/>
      <name val="Arial"/>
      <family val="2"/>
      <charset val="1"/>
    </font>
    <font>
      <sz val="20"/>
      <name val="Arial Narrow"/>
      <family val="2"/>
      <charset val="1"/>
    </font>
    <font>
      <b/>
      <sz val="20"/>
      <name val="Arial Narrow"/>
      <family val="2"/>
      <charset val="1"/>
    </font>
    <font>
      <sz val="20"/>
      <name val="Arial"/>
      <family val="2"/>
      <charset val="1"/>
    </font>
    <font>
      <b/>
      <sz val="18"/>
      <name val="Arial"/>
      <family val="2"/>
      <charset val="1"/>
    </font>
  </fonts>
  <fills count="3">
    <fill>
      <patternFill patternType="none"/>
    </fill>
    <fill>
      <patternFill patternType="gray125"/>
    </fill>
    <fill>
      <patternFill patternType="solid">
        <fgColor rgb="FFC0C0C0"/>
        <bgColor rgb="FFCCCCFF"/>
      </patternFill>
    </fill>
  </fills>
  <borders count="29">
    <border>
      <left/>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diagonal/>
    </border>
    <border>
      <left style="medium">
        <color auto="1"/>
      </left>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top style="medium">
        <color auto="1"/>
      </top>
      <bottom/>
      <diagonal/>
    </border>
    <border>
      <left/>
      <right/>
      <top/>
      <bottom style="double">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s>
  <cellStyleXfs count="7">
    <xf numFmtId="0" fontId="0" fillId="0" borderId="0"/>
    <xf numFmtId="0" fontId="1" fillId="0" borderId="0"/>
    <xf numFmtId="0" fontId="2" fillId="0" borderId="0"/>
    <xf numFmtId="0" fontId="2" fillId="0" borderId="0"/>
    <xf numFmtId="0" fontId="2" fillId="0" borderId="0"/>
    <xf numFmtId="0" fontId="2" fillId="0" borderId="0"/>
    <xf numFmtId="0" fontId="3" fillId="0" borderId="0"/>
  </cellStyleXfs>
  <cellXfs count="130">
    <xf numFmtId="0" fontId="0" fillId="0" borderId="0" xfId="0"/>
    <xf numFmtId="0" fontId="18" fillId="0" borderId="0" xfId="0" applyFont="1" applyAlignment="1">
      <alignment horizontal="left" vertical="center"/>
    </xf>
    <xf numFmtId="0" fontId="18" fillId="0" borderId="0" xfId="0" applyFont="1" applyAlignment="1">
      <alignment horizontal="right" vertical="center" wrapText="1"/>
    </xf>
    <xf numFmtId="0" fontId="0" fillId="0" borderId="22" xfId="0" applyBorder="1" applyAlignment="1">
      <alignment horizontal="center"/>
    </xf>
    <xf numFmtId="2" fontId="0" fillId="0" borderId="22" xfId="0" applyNumberFormat="1" applyBorder="1" applyAlignment="1">
      <alignment horizontal="center"/>
    </xf>
    <xf numFmtId="0" fontId="20" fillId="0" borderId="0" xfId="0" applyFont="1" applyAlignment="1">
      <alignment horizontal="center" vertical="center" wrapText="1"/>
    </xf>
    <xf numFmtId="0" fontId="18" fillId="0" borderId="0" xfId="0" applyFont="1" applyAlignment="1">
      <alignment horizontal="center" vertical="center" wrapText="1"/>
    </xf>
    <xf numFmtId="0" fontId="16" fillId="0" borderId="0" xfId="0" applyFont="1" applyAlignment="1">
      <alignment horizontal="center"/>
    </xf>
    <xf numFmtId="0" fontId="3" fillId="0" borderId="0" xfId="0" applyFont="1" applyAlignment="1">
      <alignment horizontal="left"/>
    </xf>
    <xf numFmtId="0" fontId="0" fillId="2" borderId="13" xfId="0" applyFill="1" applyBorder="1" applyAlignment="1">
      <alignment horizontal="center"/>
    </xf>
    <xf numFmtId="0" fontId="3" fillId="2" borderId="12" xfId="0" applyFont="1" applyFill="1" applyBorder="1" applyAlignment="1">
      <alignment horizontal="center"/>
    </xf>
    <xf numFmtId="0" fontId="8" fillId="0" borderId="8" xfId="0" applyFont="1" applyBorder="1" applyAlignment="1" applyProtection="1">
      <alignment horizontal="center"/>
      <protection locked="0"/>
    </xf>
    <xf numFmtId="0" fontId="9" fillId="0" borderId="0" xfId="0" applyFont="1" applyAlignment="1">
      <alignment horizontal="right"/>
    </xf>
    <xf numFmtId="0" fontId="5" fillId="0" borderId="0" xfId="0" applyFont="1" applyAlignment="1">
      <alignment horizontal="left" vertical="top" wrapText="1"/>
    </xf>
    <xf numFmtId="0" fontId="4" fillId="0" borderId="0" xfId="0" applyFont="1" applyAlignment="1">
      <alignment horizontal="center"/>
    </xf>
    <xf numFmtId="0" fontId="0" fillId="0" borderId="0" xfId="0" applyAlignment="1">
      <alignment horizontal="right"/>
    </xf>
    <xf numFmtId="0" fontId="0" fillId="0" borderId="0" xfId="0" applyProtection="1">
      <protection hidden="1"/>
    </xf>
    <xf numFmtId="0" fontId="3" fillId="0" borderId="0" xfId="0" applyFont="1"/>
    <xf numFmtId="0" fontId="5" fillId="0" borderId="0" xfId="0" applyFont="1" applyAlignment="1">
      <alignment vertical="top" wrapText="1"/>
    </xf>
    <xf numFmtId="0" fontId="3" fillId="0" borderId="0" xfId="0" applyFont="1" applyAlignment="1">
      <alignment wrapText="1"/>
    </xf>
    <xf numFmtId="0" fontId="6" fillId="2" borderId="1" xfId="0" applyFont="1" applyFill="1" applyBorder="1" applyAlignment="1">
      <alignment horizontal="right"/>
    </xf>
    <xf numFmtId="15" fontId="6" fillId="2" borderId="2" xfId="0" applyNumberFormat="1" applyFont="1" applyFill="1" applyBorder="1" applyAlignment="1">
      <alignment horizontal="center"/>
    </xf>
    <xf numFmtId="0" fontId="6" fillId="0" borderId="0" xfId="0" applyFont="1"/>
    <xf numFmtId="0" fontId="6" fillId="0" borderId="0" xfId="0" applyFont="1" applyAlignment="1">
      <alignment wrapText="1"/>
    </xf>
    <xf numFmtId="0" fontId="3" fillId="2" borderId="1" xfId="0" applyFont="1" applyFill="1" applyBorder="1" applyAlignment="1">
      <alignment horizontal="right"/>
    </xf>
    <xf numFmtId="15" fontId="7" fillId="0" borderId="3" xfId="0" applyNumberFormat="1" applyFont="1" applyBorder="1" applyAlignment="1" applyProtection="1">
      <alignment horizontal="center"/>
      <protection locked="0"/>
    </xf>
    <xf numFmtId="0" fontId="0" fillId="2" borderId="4" xfId="0" applyFill="1" applyBorder="1" applyAlignment="1">
      <alignment horizontal="right"/>
    </xf>
    <xf numFmtId="0" fontId="8" fillId="0" borderId="2" xfId="0" applyFont="1" applyBorder="1" applyProtection="1">
      <protection locked="0"/>
    </xf>
    <xf numFmtId="0" fontId="10" fillId="0" borderId="0" xfId="0" applyFont="1"/>
    <xf numFmtId="0" fontId="5" fillId="0" borderId="0" xfId="0" applyFont="1"/>
    <xf numFmtId="0" fontId="0" fillId="2" borderId="5" xfId="0" applyFill="1" applyBorder="1" applyAlignment="1">
      <alignment horizontal="right"/>
    </xf>
    <xf numFmtId="0" fontId="0" fillId="2" borderId="6" xfId="0" applyFill="1" applyBorder="1"/>
    <xf numFmtId="0" fontId="0" fillId="2" borderId="7" xfId="0" applyFill="1" applyBorder="1" applyAlignment="1">
      <alignment horizontal="right"/>
    </xf>
    <xf numFmtId="0" fontId="8" fillId="0" borderId="0" xfId="0" applyFont="1" applyProtection="1">
      <protection locked="0"/>
    </xf>
    <xf numFmtId="0" fontId="0" fillId="0" borderId="0" xfId="0" applyAlignment="1">
      <alignment horizontal="center"/>
    </xf>
    <xf numFmtId="1" fontId="8" fillId="0" borderId="3" xfId="0" applyNumberFormat="1" applyFont="1" applyBorder="1" applyProtection="1">
      <protection locked="0"/>
    </xf>
    <xf numFmtId="0" fontId="0" fillId="0" borderId="0" xfId="0" applyAlignment="1" applyProtection="1">
      <alignment horizontal="center"/>
      <protection hidden="1"/>
    </xf>
    <xf numFmtId="0" fontId="3" fillId="2" borderId="5" xfId="0" applyFont="1" applyFill="1" applyBorder="1" applyAlignment="1">
      <alignment horizontal="right"/>
    </xf>
    <xf numFmtId="15" fontId="8" fillId="0" borderId="3" xfId="0" applyNumberFormat="1" applyFont="1" applyBorder="1" applyProtection="1">
      <protection locked="0"/>
    </xf>
    <xf numFmtId="0" fontId="3" fillId="2" borderId="8" xfId="0" applyFont="1" applyFill="1" applyBorder="1" applyAlignment="1">
      <alignment horizontal="right" vertical="center"/>
    </xf>
    <xf numFmtId="164" fontId="0" fillId="0" borderId="8" xfId="0" applyNumberFormat="1" applyBorder="1" applyAlignment="1" applyProtection="1">
      <alignment horizontal="left"/>
      <protection locked="0"/>
    </xf>
    <xf numFmtId="0" fontId="0" fillId="0" borderId="0" xfId="0" applyProtection="1">
      <protection locked="0"/>
    </xf>
    <xf numFmtId="0" fontId="0" fillId="2" borderId="9" xfId="0" applyFill="1" applyBorder="1" applyAlignment="1">
      <alignment horizontal="right"/>
    </xf>
    <xf numFmtId="15" fontId="8" fillId="0" borderId="8" xfId="0" applyNumberFormat="1" applyFont="1" applyBorder="1" applyProtection="1">
      <protection locked="0"/>
    </xf>
    <xf numFmtId="0" fontId="0" fillId="2" borderId="10" xfId="0" applyFill="1" applyBorder="1" applyAlignment="1">
      <alignment horizontal="right"/>
    </xf>
    <xf numFmtId="20" fontId="8" fillId="0" borderId="11" xfId="0" applyNumberFormat="1" applyFont="1" applyBorder="1" applyProtection="1">
      <protection locked="0"/>
    </xf>
    <xf numFmtId="0" fontId="0" fillId="2" borderId="14" xfId="0" applyFill="1" applyBorder="1"/>
    <xf numFmtId="0" fontId="0" fillId="2" borderId="15" xfId="0" applyFill="1" applyBorder="1"/>
    <xf numFmtId="0" fontId="11" fillId="2" borderId="15" xfId="0" applyFont="1" applyFill="1" applyBorder="1"/>
    <xf numFmtId="0" fontId="11" fillId="2" borderId="16" xfId="0" applyFont="1" applyFill="1" applyBorder="1"/>
    <xf numFmtId="0" fontId="0" fillId="2" borderId="16" xfId="0" applyFill="1" applyBorder="1"/>
    <xf numFmtId="165" fontId="0" fillId="0" borderId="17" xfId="0" applyNumberFormat="1" applyBorder="1" applyProtection="1">
      <protection locked="0"/>
    </xf>
    <xf numFmtId="0" fontId="3" fillId="0" borderId="18" xfId="0" applyFont="1" applyBorder="1" applyProtection="1">
      <protection locked="0"/>
    </xf>
    <xf numFmtId="49" fontId="3" fillId="0" borderId="18" xfId="0" applyNumberFormat="1" applyFont="1" applyBorder="1" applyAlignment="1" applyProtection="1">
      <alignment horizontal="center"/>
      <protection locked="0"/>
    </xf>
    <xf numFmtId="49" fontId="3" fillId="0" borderId="3" xfId="0" applyNumberFormat="1" applyFont="1" applyBorder="1" applyAlignment="1" applyProtection="1">
      <alignment horizontal="center"/>
      <protection locked="0"/>
    </xf>
    <xf numFmtId="166" fontId="0" fillId="0" borderId="0" xfId="0" applyNumberFormat="1"/>
    <xf numFmtId="166" fontId="0" fillId="0" borderId="0" xfId="0" applyNumberFormat="1" applyAlignment="1">
      <alignment horizontal="center" vertical="center" wrapText="1"/>
    </xf>
    <xf numFmtId="165" fontId="0" fillId="0" borderId="0" xfId="0" applyNumberFormat="1"/>
    <xf numFmtId="165" fontId="0" fillId="0" borderId="19" xfId="0" applyNumberFormat="1" applyBorder="1" applyProtection="1">
      <protection locked="0"/>
    </xf>
    <xf numFmtId="0" fontId="3" fillId="0" borderId="20" xfId="0" applyFont="1" applyBorder="1" applyProtection="1">
      <protection locked="0"/>
    </xf>
    <xf numFmtId="165" fontId="0" fillId="0" borderId="21" xfId="0" applyNumberFormat="1" applyBorder="1" applyProtection="1">
      <protection locked="0"/>
    </xf>
    <xf numFmtId="0" fontId="8" fillId="0" borderId="22" xfId="0" applyFont="1" applyBorder="1" applyProtection="1">
      <protection locked="0"/>
    </xf>
    <xf numFmtId="49" fontId="8" fillId="0" borderId="22" xfId="0" applyNumberFormat="1" applyFont="1" applyBorder="1" applyAlignment="1" applyProtection="1">
      <alignment horizontal="center"/>
      <protection locked="0"/>
    </xf>
    <xf numFmtId="49" fontId="8" fillId="0" borderId="11" xfId="0" applyNumberFormat="1" applyFont="1" applyBorder="1" applyAlignment="1" applyProtection="1">
      <alignment horizontal="center"/>
      <protection locked="0"/>
    </xf>
    <xf numFmtId="0" fontId="0" fillId="0" borderId="0" xfId="0" applyAlignment="1">
      <alignment horizontal="left"/>
    </xf>
    <xf numFmtId="0" fontId="14" fillId="0" borderId="0" xfId="0" applyFont="1" applyAlignment="1">
      <alignment vertical="top"/>
    </xf>
    <xf numFmtId="0" fontId="15" fillId="0" borderId="0" xfId="0" applyFont="1" applyAlignment="1">
      <alignment horizontal="right" vertical="top"/>
    </xf>
    <xf numFmtId="15" fontId="15" fillId="0" borderId="0" xfId="0" applyNumberFormat="1" applyFont="1" applyAlignment="1">
      <alignment horizontal="left"/>
    </xf>
    <xf numFmtId="0" fontId="0" fillId="0" borderId="0" xfId="0" applyAlignment="1">
      <alignment horizontal="right" vertical="top" textRotation="90"/>
    </xf>
    <xf numFmtId="0" fontId="17" fillId="0" borderId="0" xfId="0" applyFont="1" applyAlignment="1">
      <alignment horizontal="right" vertical="center"/>
    </xf>
    <xf numFmtId="0" fontId="17" fillId="0" borderId="0" xfId="0" applyFont="1" applyAlignment="1">
      <alignment horizontal="left" vertical="center"/>
    </xf>
    <xf numFmtId="0" fontId="16" fillId="0" borderId="0" xfId="0" applyFont="1"/>
    <xf numFmtId="0" fontId="18" fillId="0" borderId="0" xfId="0" applyFont="1" applyAlignment="1">
      <alignment vertical="center" wrapText="1"/>
    </xf>
    <xf numFmtId="0" fontId="19" fillId="0" borderId="0" xfId="0" applyFont="1"/>
    <xf numFmtId="0" fontId="19" fillId="0" borderId="0" xfId="0" applyFont="1" applyAlignment="1">
      <alignment vertical="center" wrapText="1"/>
    </xf>
    <xf numFmtId="0" fontId="19" fillId="0" borderId="0" xfId="0" applyFont="1" applyAlignment="1">
      <alignment vertical="top"/>
    </xf>
    <xf numFmtId="0" fontId="18" fillId="0" borderId="0" xfId="0" applyFont="1" applyAlignment="1">
      <alignment horizontal="right"/>
    </xf>
    <xf numFmtId="0" fontId="18" fillId="0" borderId="0" xfId="0" applyFont="1" applyProtection="1">
      <protection locked="0"/>
    </xf>
    <xf numFmtId="0" fontId="21" fillId="0" borderId="0" xfId="0" applyFont="1" applyAlignment="1">
      <alignment horizontal="right" vertical="center"/>
    </xf>
    <xf numFmtId="0" fontId="21" fillId="0" borderId="0" xfId="0" applyFont="1" applyAlignment="1">
      <alignment vertical="center"/>
    </xf>
    <xf numFmtId="0" fontId="21" fillId="0" borderId="0" xfId="0" applyFont="1" applyAlignment="1">
      <alignment horizontal="left" vertical="center"/>
    </xf>
    <xf numFmtId="0" fontId="18" fillId="0" borderId="0" xfId="0" applyFont="1" applyAlignment="1">
      <alignment horizontal="left" vertical="center"/>
    </xf>
    <xf numFmtId="0" fontId="3" fillId="0" borderId="0" xfId="0" applyFont="1" applyAlignment="1">
      <alignment horizontal="right"/>
    </xf>
    <xf numFmtId="0" fontId="18" fillId="0" borderId="0" xfId="0" applyFont="1" applyAlignment="1">
      <alignment vertical="center"/>
    </xf>
    <xf numFmtId="167" fontId="18" fillId="0" borderId="22" xfId="0" applyNumberFormat="1" applyFont="1" applyBorder="1" applyAlignment="1" applyProtection="1">
      <alignment horizontal="center"/>
      <protection locked="0"/>
    </xf>
    <xf numFmtId="167" fontId="18" fillId="0" borderId="0" xfId="0" applyNumberFormat="1" applyFont="1" applyAlignment="1" applyProtection="1">
      <alignment horizontal="center"/>
      <protection locked="0"/>
    </xf>
    <xf numFmtId="18" fontId="22" fillId="0" borderId="22" xfId="0" applyNumberFormat="1" applyFont="1" applyBorder="1" applyAlignment="1">
      <alignment horizontal="center" wrapText="1"/>
    </xf>
    <xf numFmtId="18" fontId="22" fillId="0" borderId="0" xfId="0" applyNumberFormat="1" applyFont="1" applyAlignment="1">
      <alignment horizontal="center" wrapText="1"/>
    </xf>
    <xf numFmtId="0" fontId="18" fillId="0" borderId="0" xfId="0" applyFont="1" applyAlignment="1">
      <alignment horizontal="center"/>
    </xf>
    <xf numFmtId="167" fontId="18" fillId="0" borderId="0" xfId="0" applyNumberFormat="1" applyFont="1" applyAlignment="1">
      <alignment horizontal="center"/>
    </xf>
    <xf numFmtId="0" fontId="0" fillId="0" borderId="22" xfId="0" applyBorder="1" applyProtection="1">
      <protection locked="0"/>
    </xf>
    <xf numFmtId="0" fontId="21" fillId="0" borderId="24" xfId="0" applyFont="1" applyBorder="1" applyAlignment="1">
      <alignment horizontal="right" vertical="center"/>
    </xf>
    <xf numFmtId="0" fontId="21" fillId="0" borderId="24" xfId="0" applyFont="1" applyBorder="1" applyAlignment="1">
      <alignment vertical="center"/>
    </xf>
    <xf numFmtId="0" fontId="21" fillId="0" borderId="24" xfId="0" applyFont="1" applyBorder="1" applyAlignment="1">
      <alignment horizontal="left" vertical="center"/>
    </xf>
    <xf numFmtId="0" fontId="15" fillId="2" borderId="13" xfId="0" applyFont="1" applyFill="1" applyBorder="1" applyAlignment="1">
      <alignment horizontal="center" wrapText="1"/>
    </xf>
    <xf numFmtId="0" fontId="15" fillId="2" borderId="13" xfId="0" applyFont="1" applyFill="1" applyBorder="1" applyAlignment="1">
      <alignment horizontal="center"/>
    </xf>
    <xf numFmtId="165" fontId="25" fillId="0" borderId="25" xfId="0" applyNumberFormat="1" applyFont="1" applyBorder="1" applyAlignment="1">
      <alignment horizontal="center" wrapText="1"/>
    </xf>
    <xf numFmtId="168" fontId="22" fillId="0" borderId="25" xfId="0" applyNumberFormat="1" applyFont="1" applyBorder="1" applyAlignment="1">
      <alignment horizontal="center" vertical="center" wrapText="1"/>
    </xf>
    <xf numFmtId="0" fontId="25" fillId="0" borderId="6" xfId="0" applyFont="1" applyBorder="1" applyAlignment="1">
      <alignment horizontal="center" vertical="center"/>
    </xf>
    <xf numFmtId="0" fontId="26" fillId="0" borderId="25" xfId="0" applyFont="1" applyBorder="1" applyAlignment="1">
      <alignment horizontal="center" vertical="center" wrapText="1"/>
    </xf>
    <xf numFmtId="0" fontId="27" fillId="0" borderId="26" xfId="0" applyFont="1" applyBorder="1"/>
    <xf numFmtId="165" fontId="26" fillId="0" borderId="25" xfId="0" applyNumberFormat="1" applyFont="1" applyBorder="1" applyAlignment="1">
      <alignment horizontal="center" vertical="center"/>
    </xf>
    <xf numFmtId="18" fontId="26" fillId="0" borderId="25" xfId="0" applyNumberFormat="1" applyFont="1" applyBorder="1" applyAlignment="1">
      <alignment horizontal="center" vertical="center" wrapText="1"/>
    </xf>
    <xf numFmtId="0" fontId="27" fillId="0" borderId="25" xfId="0" applyFont="1" applyBorder="1"/>
    <xf numFmtId="165" fontId="25" fillId="0" borderId="10" xfId="0" applyNumberFormat="1" applyFont="1" applyBorder="1"/>
    <xf numFmtId="169" fontId="22" fillId="0" borderId="10" xfId="0" applyNumberFormat="1" applyFont="1" applyBorder="1" applyAlignment="1">
      <alignment horizontal="center" vertical="center" wrapText="1"/>
    </xf>
    <xf numFmtId="0" fontId="25" fillId="0" borderId="22" xfId="0" applyFont="1" applyBorder="1" applyAlignment="1">
      <alignment horizontal="center" vertical="center"/>
    </xf>
    <xf numFmtId="0" fontId="26" fillId="0" borderId="10" xfId="0" applyFont="1" applyBorder="1" applyAlignment="1">
      <alignment horizontal="center" vertical="center" wrapText="1"/>
    </xf>
    <xf numFmtId="0" fontId="27" fillId="0" borderId="10" xfId="0" applyFont="1" applyBorder="1"/>
    <xf numFmtId="0" fontId="25" fillId="0" borderId="25" xfId="0" applyFont="1" applyBorder="1" applyAlignment="1">
      <alignment horizontal="center" vertical="center"/>
    </xf>
    <xf numFmtId="164" fontId="21" fillId="0" borderId="0" xfId="0" applyNumberFormat="1" applyFont="1" applyAlignment="1">
      <alignment vertical="center"/>
    </xf>
    <xf numFmtId="0" fontId="3" fillId="0" borderId="0" xfId="0" applyFont="1" applyAlignment="1">
      <alignment horizontal="right" vertical="top"/>
    </xf>
    <xf numFmtId="15" fontId="3" fillId="0" borderId="0" xfId="0" applyNumberFormat="1" applyFont="1" applyAlignment="1">
      <alignment horizontal="left"/>
    </xf>
    <xf numFmtId="0" fontId="3" fillId="0" borderId="0" xfId="0" applyFont="1" applyAlignment="1">
      <alignment vertical="top"/>
    </xf>
    <xf numFmtId="0" fontId="0" fillId="0" borderId="0" xfId="0" applyAlignment="1">
      <alignment vertical="top"/>
    </xf>
    <xf numFmtId="1" fontId="17" fillId="0" borderId="0" xfId="0" applyNumberFormat="1"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right"/>
    </xf>
    <xf numFmtId="0" fontId="14" fillId="0" borderId="23" xfId="0" applyFont="1" applyBorder="1" applyAlignment="1">
      <alignment horizontal="center" vertical="top"/>
    </xf>
    <xf numFmtId="0" fontId="18" fillId="0" borderId="0" xfId="0" applyFont="1" applyAlignment="1">
      <alignment horizontal="center" vertical="center"/>
    </xf>
    <xf numFmtId="0" fontId="23" fillId="0" borderId="22" xfId="0" applyFont="1" applyBorder="1" applyAlignment="1">
      <alignment horizontal="center" vertical="center"/>
    </xf>
    <xf numFmtId="0" fontId="15" fillId="2" borderId="13" xfId="0" applyFont="1" applyFill="1" applyBorder="1" applyAlignment="1">
      <alignment horizontal="center"/>
    </xf>
    <xf numFmtId="0" fontId="26" fillId="0" borderId="26" xfId="0" applyFont="1" applyBorder="1" applyAlignment="1" applyProtection="1">
      <alignment horizontal="center" vertical="center" wrapText="1"/>
      <protection locked="0"/>
    </xf>
    <xf numFmtId="0" fontId="26" fillId="0" borderId="25" xfId="0" applyFont="1" applyBorder="1" applyAlignment="1" applyProtection="1">
      <alignment horizontal="center" vertical="center" wrapText="1"/>
      <protection locked="0"/>
    </xf>
    <xf numFmtId="0" fontId="26" fillId="0" borderId="10" xfId="0" applyFont="1" applyBorder="1" applyAlignment="1" applyProtection="1">
      <alignment horizontal="center" vertical="center" wrapText="1"/>
      <protection locked="0"/>
    </xf>
    <xf numFmtId="0" fontId="28" fillId="0" borderId="0" xfId="0" applyFont="1" applyAlignment="1">
      <alignment horizontal="left" vertical="center"/>
    </xf>
    <xf numFmtId="15" fontId="0" fillId="0" borderId="0" xfId="0" applyNumberFormat="1" applyAlignment="1">
      <alignment horizontal="left" vertical="top"/>
    </xf>
    <xf numFmtId="0" fontId="26" fillId="0" borderId="27" xfId="0" applyFont="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0" fontId="26" fillId="0" borderId="28" xfId="0" applyFont="1" applyBorder="1" applyAlignment="1" applyProtection="1">
      <alignment horizontal="center" vertical="center" wrapText="1"/>
      <protection locked="0"/>
    </xf>
  </cellXfs>
  <cellStyles count="7">
    <cellStyle name="Normal" xfId="0" builtinId="0"/>
    <cellStyle name="Normal 2" xfId="1" xr:uid="{00000000-0005-0000-0000-000006000000}"/>
    <cellStyle name="Normal 3" xfId="2" xr:uid="{00000000-0005-0000-0000-000007000000}"/>
    <cellStyle name="Normal 3 2" xfId="3" xr:uid="{00000000-0005-0000-0000-000008000000}"/>
    <cellStyle name="Normal 3 2 2" xfId="4" xr:uid="{00000000-0005-0000-0000-000009000000}"/>
    <cellStyle name="Normal 3 2 3" xfId="5" xr:uid="{00000000-0005-0000-0000-00000A000000}"/>
    <cellStyle name="Normal 4" xfId="6"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101520</xdr:colOff>
      <xdr:row>2</xdr:row>
      <xdr:rowOff>24480</xdr:rowOff>
    </xdr:from>
    <xdr:to>
      <xdr:col>2</xdr:col>
      <xdr:colOff>698400</xdr:colOff>
      <xdr:row>6</xdr:row>
      <xdr:rowOff>12960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101520" y="415080"/>
          <a:ext cx="1630080" cy="13028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101520</xdr:colOff>
      <xdr:row>2</xdr:row>
      <xdr:rowOff>24480</xdr:rowOff>
    </xdr:from>
    <xdr:to>
      <xdr:col>2</xdr:col>
      <xdr:colOff>698400</xdr:colOff>
      <xdr:row>6</xdr:row>
      <xdr:rowOff>12960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101520" y="415080"/>
          <a:ext cx="1630080" cy="130284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tint val="100000"/>
                <a:shade val="100000"/>
              </a:schemeClr>
            </a:gs>
            <a:gs pos="100000">
              <a:schemeClr val="phClr">
                <a:tint val="50000"/>
                <a:shade val="100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opLeftCell="D6" zoomScale="85" zoomScaleNormal="85" workbookViewId="0">
      <selection activeCell="H20" sqref="H20"/>
    </sheetView>
  </sheetViews>
  <sheetFormatPr defaultColWidth="8.77734375" defaultRowHeight="13.2" x14ac:dyDescent="0.25"/>
  <cols>
    <col min="1" max="1" width="16.44140625" style="15" customWidth="1"/>
    <col min="2" max="2" width="10.77734375" customWidth="1"/>
    <col min="3" max="3" width="1" style="16" hidden="1" customWidth="1"/>
    <col min="4" max="4" width="8.33203125" customWidth="1"/>
    <col min="5" max="5" width="17" customWidth="1"/>
    <col min="6" max="11" width="34.109375" customWidth="1"/>
    <col min="12" max="15" width="17.77734375" hidden="1" customWidth="1"/>
    <col min="16" max="16" width="2.109375" customWidth="1"/>
  </cols>
  <sheetData>
    <row r="1" spans="1:33" ht="19.5" customHeight="1" x14ac:dyDescent="0.35">
      <c r="A1" s="14" t="s">
        <v>0</v>
      </c>
      <c r="B1" s="14"/>
      <c r="C1" s="14"/>
      <c r="D1" s="14"/>
      <c r="E1" s="14"/>
      <c r="F1" s="14"/>
      <c r="G1" s="14"/>
      <c r="H1" s="17" t="s">
        <v>1</v>
      </c>
      <c r="Q1" s="13" t="s">
        <v>2</v>
      </c>
      <c r="R1" s="13"/>
      <c r="S1" s="13"/>
      <c r="T1" s="13"/>
      <c r="U1" s="13"/>
      <c r="V1" s="13"/>
      <c r="W1" s="13"/>
      <c r="X1" s="13"/>
      <c r="Y1" s="13"/>
      <c r="Z1" s="13"/>
      <c r="AA1" s="13"/>
      <c r="AB1" s="13"/>
      <c r="AC1" s="13"/>
      <c r="AD1" s="13"/>
      <c r="AE1" s="13"/>
      <c r="AF1" s="13"/>
      <c r="AG1" s="18"/>
    </row>
    <row r="2" spans="1:33" ht="12.75" customHeight="1" x14ac:dyDescent="0.25">
      <c r="H2" s="19"/>
      <c r="I2" s="19"/>
      <c r="Q2" s="13"/>
      <c r="R2" s="13"/>
      <c r="S2" s="13"/>
      <c r="T2" s="13"/>
      <c r="U2" s="13"/>
      <c r="V2" s="13"/>
      <c r="W2" s="13"/>
      <c r="X2" s="13"/>
      <c r="Y2" s="13"/>
      <c r="Z2" s="13"/>
      <c r="AA2" s="13"/>
      <c r="AB2" s="13"/>
      <c r="AC2" s="13"/>
      <c r="AD2" s="13"/>
      <c r="AE2" s="13"/>
      <c r="AF2" s="13"/>
      <c r="AG2" s="18"/>
    </row>
    <row r="3" spans="1:33" s="22" customFormat="1" ht="12.75" customHeight="1" x14ac:dyDescent="0.2">
      <c r="A3" s="20" t="s">
        <v>3</v>
      </c>
      <c r="B3" s="21">
        <v>45393</v>
      </c>
      <c r="H3" s="23"/>
      <c r="I3" s="23"/>
      <c r="Q3" s="13"/>
      <c r="R3" s="13"/>
      <c r="S3" s="13"/>
      <c r="T3" s="13"/>
      <c r="U3" s="13"/>
      <c r="V3" s="13"/>
      <c r="W3" s="13"/>
      <c r="X3" s="13"/>
      <c r="Y3" s="13"/>
      <c r="Z3" s="13"/>
      <c r="AA3" s="13"/>
      <c r="AB3" s="13"/>
      <c r="AC3" s="13"/>
      <c r="AD3" s="13"/>
      <c r="AE3" s="13"/>
      <c r="AF3" s="13"/>
      <c r="AG3" s="18"/>
    </row>
    <row r="4" spans="1:33" ht="12.75" customHeight="1" x14ac:dyDescent="0.25">
      <c r="A4" s="24" t="s">
        <v>4</v>
      </c>
      <c r="B4" s="25"/>
      <c r="C4"/>
      <c r="H4" s="19"/>
      <c r="I4" s="19"/>
      <c r="Q4" s="13"/>
      <c r="R4" s="13"/>
      <c r="S4" s="13"/>
      <c r="T4" s="13"/>
      <c r="U4" s="13"/>
      <c r="V4" s="13"/>
      <c r="W4" s="13"/>
      <c r="X4" s="13"/>
      <c r="Y4" s="13"/>
      <c r="Z4" s="13"/>
      <c r="AA4" s="13"/>
      <c r="AB4" s="13"/>
      <c r="AC4" s="13"/>
      <c r="AD4" s="13"/>
      <c r="AE4" s="13"/>
      <c r="AF4" s="13"/>
      <c r="AG4" s="18"/>
    </row>
    <row r="5" spans="1:33" ht="6.75" customHeight="1" x14ac:dyDescent="0.25">
      <c r="H5" s="19"/>
      <c r="I5" s="19"/>
      <c r="Q5" s="18"/>
      <c r="R5" s="18"/>
      <c r="S5" s="18"/>
      <c r="T5" s="18"/>
      <c r="U5" s="18"/>
      <c r="V5" s="18"/>
      <c r="W5" s="18"/>
      <c r="X5" s="18"/>
      <c r="Y5" s="18"/>
      <c r="Z5" s="18"/>
      <c r="AA5" s="18"/>
      <c r="AB5" s="18"/>
      <c r="AC5" s="18"/>
      <c r="AD5" s="18"/>
      <c r="AE5" s="18"/>
      <c r="AF5" s="18"/>
      <c r="AG5" s="18"/>
    </row>
    <row r="6" spans="1:33" ht="18" x14ac:dyDescent="0.35">
      <c r="A6" s="26" t="s">
        <v>5</v>
      </c>
      <c r="B6" s="27">
        <v>1000</v>
      </c>
      <c r="C6" s="16">
        <f>IF(Brevet_Length&gt;=1200,Brevet_Length,IF(Brevet_Length&gt;=1000,1000,IF(Brevet_Length&gt;=600,600,IF(Brevet_Length&gt;=400,400,IF(Brevet_Length&gt;=300,300,IF(Brevet_Length&gt;=200,200,100))))))</f>
        <v>1000</v>
      </c>
      <c r="J6" s="12" t="s">
        <v>6</v>
      </c>
      <c r="K6" s="12"/>
      <c r="Q6" s="28" t="s">
        <v>7</v>
      </c>
      <c r="R6" s="28"/>
      <c r="S6" s="28"/>
      <c r="T6" s="28"/>
      <c r="U6" s="28"/>
      <c r="V6" s="28"/>
      <c r="W6" s="28"/>
      <c r="X6" s="29"/>
      <c r="Y6" s="29"/>
      <c r="Z6" s="29"/>
    </row>
    <row r="7" spans="1:33" ht="13.8" x14ac:dyDescent="0.25">
      <c r="A7" s="30" t="s">
        <v>8</v>
      </c>
      <c r="B7" s="31">
        <f>IF(brevet=1200,90,IF(brevet=1000,75,IF(brevet=600,40,IF(brevet=400,27,IF(brevet=300,20,IF(brevet=200,13.5,IF(brevet&lt;200,L7,0)))))))</f>
        <v>75</v>
      </c>
      <c r="L7">
        <f>IF(Brevet_Length=150,10.5,IF(Brevet_Length=100,7,IF(Brevet_Length=50,3.5,IF(Brevet_Length=25, 2,0))))</f>
        <v>0</v>
      </c>
      <c r="Q7" s="29" t="s">
        <v>9</v>
      </c>
      <c r="R7" s="29"/>
      <c r="S7" s="29"/>
      <c r="T7" s="29"/>
      <c r="U7" s="29"/>
      <c r="V7" s="29"/>
      <c r="W7" s="29"/>
      <c r="X7" s="29"/>
      <c r="Y7" s="29"/>
      <c r="Z7" s="29"/>
    </row>
    <row r="8" spans="1:33" ht="18" x14ac:dyDescent="0.35">
      <c r="A8" s="32" t="s">
        <v>10</v>
      </c>
      <c r="B8" s="11" t="s">
        <v>11</v>
      </c>
      <c r="C8" s="11"/>
      <c r="D8" s="11"/>
      <c r="E8" s="11"/>
      <c r="F8" s="11"/>
      <c r="G8" s="33"/>
      <c r="H8" s="33"/>
      <c r="I8" s="34"/>
      <c r="J8" s="34"/>
      <c r="K8" s="34"/>
      <c r="Q8" s="28" t="s">
        <v>12</v>
      </c>
      <c r="R8" s="29"/>
      <c r="S8" s="29"/>
      <c r="T8" s="29"/>
      <c r="U8" s="29"/>
      <c r="V8" s="29"/>
      <c r="W8" s="29"/>
      <c r="X8" s="29"/>
      <c r="Y8" s="29"/>
      <c r="Z8" s="29"/>
    </row>
    <row r="9" spans="1:33" ht="18" x14ac:dyDescent="0.35">
      <c r="A9" s="30" t="s">
        <v>13</v>
      </c>
      <c r="B9" s="35">
        <v>5365</v>
      </c>
      <c r="C9" s="36"/>
      <c r="F9" s="34"/>
      <c r="G9" s="34"/>
      <c r="H9" s="34"/>
      <c r="I9" s="34"/>
      <c r="J9" s="34"/>
      <c r="K9" s="34"/>
      <c r="Q9" s="28" t="s">
        <v>14</v>
      </c>
      <c r="R9" s="29"/>
      <c r="S9" s="29"/>
      <c r="T9" s="29"/>
      <c r="U9" s="29"/>
      <c r="V9" s="29"/>
      <c r="W9" s="29"/>
      <c r="X9" s="29"/>
      <c r="Y9" s="29"/>
      <c r="Z9" s="29"/>
    </row>
    <row r="10" spans="1:33" ht="18" x14ac:dyDescent="0.35">
      <c r="A10" s="37" t="s">
        <v>15</v>
      </c>
      <c r="B10" s="38">
        <v>45563</v>
      </c>
      <c r="E10" s="39" t="s">
        <v>16</v>
      </c>
      <c r="F10" s="40" t="s">
        <v>17</v>
      </c>
      <c r="Q10" s="28" t="s">
        <v>18</v>
      </c>
      <c r="R10" s="29"/>
      <c r="S10" s="29"/>
      <c r="T10" s="29"/>
      <c r="U10" s="29"/>
      <c r="V10" s="29"/>
      <c r="W10" s="29"/>
      <c r="X10" s="29"/>
      <c r="Y10" s="29"/>
      <c r="Z10" s="29"/>
    </row>
    <row r="11" spans="1:33" ht="6" customHeight="1" x14ac:dyDescent="0.25">
      <c r="B11" s="41"/>
      <c r="Q11" s="29"/>
      <c r="R11" s="29"/>
      <c r="S11" s="29"/>
      <c r="T11" s="29"/>
      <c r="U11" s="29"/>
      <c r="V11" s="29"/>
      <c r="W11" s="29"/>
      <c r="X11" s="29"/>
      <c r="Y11" s="29"/>
      <c r="Z11" s="29"/>
    </row>
    <row r="12" spans="1:33" ht="18" customHeight="1" x14ac:dyDescent="0.35">
      <c r="A12" s="42" t="s">
        <v>19</v>
      </c>
      <c r="B12" s="43">
        <v>45563</v>
      </c>
      <c r="Q12" s="28" t="s">
        <v>20</v>
      </c>
      <c r="R12" s="29"/>
      <c r="S12" s="29"/>
      <c r="T12" s="29"/>
      <c r="U12" s="29"/>
      <c r="V12" s="29"/>
      <c r="W12" s="29"/>
      <c r="X12" s="29"/>
      <c r="Y12" s="29"/>
      <c r="Z12" s="29"/>
    </row>
    <row r="13" spans="1:33" ht="18" x14ac:dyDescent="0.35">
      <c r="A13" s="44" t="s">
        <v>21</v>
      </c>
      <c r="B13" s="45">
        <v>0.25</v>
      </c>
      <c r="D13" s="10" t="s">
        <v>22</v>
      </c>
      <c r="E13" s="10"/>
      <c r="F13" s="10"/>
      <c r="G13" s="10"/>
      <c r="H13" s="10"/>
      <c r="I13" s="9" t="s">
        <v>23</v>
      </c>
      <c r="J13" s="9"/>
      <c r="K13" s="9"/>
      <c r="Q13" s="28" t="s">
        <v>24</v>
      </c>
      <c r="R13" s="29"/>
      <c r="S13" s="29"/>
      <c r="T13" s="29"/>
      <c r="U13" s="29"/>
      <c r="V13" s="29"/>
      <c r="W13" s="29"/>
      <c r="X13" s="29"/>
      <c r="Y13" s="29"/>
      <c r="Z13" s="29"/>
    </row>
    <row r="14" spans="1:33" ht="14.4" x14ac:dyDescent="0.3">
      <c r="D14" s="46" t="s">
        <v>25</v>
      </c>
      <c r="E14" s="47" t="s">
        <v>26</v>
      </c>
      <c r="F14" s="48" t="s">
        <v>27</v>
      </c>
      <c r="G14" s="48" t="s">
        <v>28</v>
      </c>
      <c r="H14" s="49" t="s">
        <v>29</v>
      </c>
      <c r="I14" s="47" t="s">
        <v>30</v>
      </c>
      <c r="J14" s="47" t="s">
        <v>31</v>
      </c>
      <c r="K14" s="50" t="s">
        <v>32</v>
      </c>
      <c r="L14" t="s">
        <v>33</v>
      </c>
      <c r="M14" t="s">
        <v>34</v>
      </c>
      <c r="N14" t="s">
        <v>35</v>
      </c>
      <c r="O14" t="s">
        <v>36</v>
      </c>
      <c r="Q14" s="28" t="s">
        <v>37</v>
      </c>
      <c r="R14" s="29"/>
      <c r="S14" s="29"/>
      <c r="T14" s="29"/>
      <c r="U14" s="29"/>
      <c r="V14" s="29"/>
      <c r="W14" s="29"/>
      <c r="X14" s="29"/>
      <c r="Y14" s="29"/>
      <c r="Z14" s="29"/>
    </row>
    <row r="15" spans="1:33" ht="16.5" customHeight="1" x14ac:dyDescent="0.25">
      <c r="C15" s="16" t="s">
        <v>38</v>
      </c>
      <c r="D15" s="51">
        <v>0</v>
      </c>
      <c r="E15" s="52" t="s">
        <v>39</v>
      </c>
      <c r="F15" s="53" t="s">
        <v>40</v>
      </c>
      <c r="G15" s="53" t="s">
        <v>41</v>
      </c>
      <c r="H15" s="54"/>
      <c r="I15" s="53" t="s">
        <v>42</v>
      </c>
      <c r="J15" s="53"/>
      <c r="K15" s="54"/>
      <c r="L15" s="55">
        <f>Start_date+Start_time</f>
        <v>45563.25</v>
      </c>
      <c r="M15" s="55">
        <f>L15+"1:00"</f>
        <v>45563.291666666664</v>
      </c>
      <c r="N15" s="56">
        <f>IF(ISBLANK(Distance),"",Open Control_1)</f>
        <v>45563.25</v>
      </c>
      <c r="O15" s="56">
        <f>IF(ISBLANK(Distance),"",Close Control_1)</f>
        <v>45563.291666666664</v>
      </c>
      <c r="Q15" s="28" t="s">
        <v>43</v>
      </c>
      <c r="R15" s="29"/>
      <c r="S15" s="29"/>
      <c r="T15" s="29"/>
      <c r="U15" s="29"/>
      <c r="V15" s="29"/>
      <c r="W15" s="29"/>
      <c r="X15" s="29"/>
      <c r="Y15" s="29"/>
      <c r="Z15" s="29"/>
    </row>
    <row r="16" spans="1:33" ht="16.5" customHeight="1" x14ac:dyDescent="0.25">
      <c r="B16" s="57"/>
      <c r="C16" s="16" t="s">
        <v>44</v>
      </c>
      <c r="D16" s="51">
        <v>44.9</v>
      </c>
      <c r="E16" s="52" t="s">
        <v>45</v>
      </c>
      <c r="F16" s="53"/>
      <c r="G16" s="53" t="s">
        <v>46</v>
      </c>
      <c r="H16" s="54"/>
      <c r="I16" s="53"/>
      <c r="J16" s="53"/>
      <c r="K16" s="54"/>
      <c r="L16">
        <f t="shared" ref="L16:L24" si="0">IF(ISBLANK(Distance),"",IF(Distance&gt;1000,(Distance-1000)/26+33.0847,(IF(Distance&gt;600,(Distance-600)/28+18.799,(IF(Distance&gt;400,(Distance-400)/30+12.1324,(IF(Distance&gt;200,(Distance-200)/32+5.8824,Distance/34))))))))</f>
        <v>1.3205882352941176</v>
      </c>
      <c r="M16">
        <f>IF(ISBLANK(Distance),"",IF(Distance&gt;=brevet,d16200if(brevet&gt;1200,(brevet-1200)*75/1000+90,Max_time),IF(Distance&gt;1200,(Distance-1200)*75/1000+90,IF(Distance&gt;1000,(Distance-1000)/(1000/75)+75,IF(Distance&gt;600,(Distance-600)/(400/35)+40,IF(Distance&lt;=60,(Distance/20+1),Distance/15))))))</f>
        <v>3.2450000000000001</v>
      </c>
      <c r="N16" s="56">
        <f>IF(ISBLANK(Distance),"",Open_time Control_1+(INT(Open)&amp;":"&amp;IF(ROUND(((Open-INT(Open))*60),0)&lt;10,0,"")&amp;ROUND(((Open-INT(Open))*60),0)))</f>
        <v>45563.304861111108</v>
      </c>
      <c r="O16" s="56">
        <f>IF(ISBLANK(Distance),"",Open_time Control_1+(INT(Close)&amp;":"&amp;IF(ROUND(((Close-INT(Close))*60),0)&lt;10,0,"")&amp;ROUND(((Close-INT(Close))*60),0)))</f>
        <v>45563.385416666664</v>
      </c>
      <c r="Q16" s="28" t="s">
        <v>47</v>
      </c>
      <c r="R16" s="29"/>
      <c r="S16" s="29"/>
      <c r="T16" s="29"/>
      <c r="U16" s="29"/>
      <c r="V16" s="29"/>
      <c r="W16" s="29"/>
      <c r="X16" s="29"/>
      <c r="Y16" s="29"/>
      <c r="Z16" s="29"/>
    </row>
    <row r="17" spans="2:26" ht="16.5" customHeight="1" x14ac:dyDescent="0.25">
      <c r="B17" s="57"/>
      <c r="C17" s="16" t="s">
        <v>48</v>
      </c>
      <c r="D17" s="51">
        <v>134.80000000000001</v>
      </c>
      <c r="E17" s="52" t="s">
        <v>49</v>
      </c>
      <c r="F17" s="53"/>
      <c r="G17" s="53" t="s">
        <v>50</v>
      </c>
      <c r="H17" s="54"/>
      <c r="I17" s="53"/>
      <c r="J17" s="53"/>
      <c r="K17" s="54"/>
      <c r="L17">
        <f t="shared" si="0"/>
        <v>3.9647058823529413</v>
      </c>
      <c r="M17">
        <f t="shared" ref="M17:M24" si="1">IF(ISBLANK(Distance),"",IF(Distance&gt;=brevet,IF(brevet&gt;1200,(brevet-1200)*75/1000+90,Max_time),IF(Distance&gt;1200,(Distance-1200)*75/1000+90,IF(Distance&gt;1000,(Distance-1000)/(1000/75)+75,IF(Distance&gt;600,(Distance-600)/(400/35)+40,IF(Distance&lt;=60,(Distance/20+1),Distance/15))))))</f>
        <v>8.9866666666666681</v>
      </c>
      <c r="N17" s="56">
        <f>IF(ISBLANK(Distance),"",Open_time Control_1+(INT(Open)&amp;":"&amp;IF(ROUND(((Open-INT(Open))*60),0)&lt;10,0,"")&amp;ROUND(((Open-INT(Open))*60),0)))</f>
        <v>45563.415277777778</v>
      </c>
      <c r="O17" s="56">
        <f>IF(ISBLANK(Distance),"",Open_time Control_1+(INT(Close)&amp;":"&amp;IF(ROUND(((Close-INT(Close))*60),0)&lt;10,0,"")&amp;ROUND(((Close-INT(Close))*60),0)))</f>
        <v>45563.624305555553</v>
      </c>
      <c r="Q17" s="28" t="s">
        <v>51</v>
      </c>
      <c r="R17" s="29"/>
      <c r="S17" s="29"/>
      <c r="T17" s="29"/>
      <c r="U17" s="29"/>
      <c r="V17" s="29"/>
      <c r="W17" s="29"/>
      <c r="X17" s="29"/>
      <c r="Y17" s="29"/>
      <c r="Z17" s="29"/>
    </row>
    <row r="18" spans="2:26" ht="16.5" customHeight="1" x14ac:dyDescent="0.25">
      <c r="B18" s="57"/>
      <c r="C18" s="16" t="s">
        <v>52</v>
      </c>
      <c r="D18" s="51">
        <v>280.60000000000002</v>
      </c>
      <c r="E18" s="52" t="s">
        <v>53</v>
      </c>
      <c r="F18" s="53"/>
      <c r="G18" s="53" t="s">
        <v>54</v>
      </c>
      <c r="H18" s="54"/>
      <c r="I18" s="53"/>
      <c r="J18" s="53"/>
      <c r="K18" s="54"/>
      <c r="L18">
        <f t="shared" si="0"/>
        <v>8.4011500000000012</v>
      </c>
      <c r="M18">
        <f t="shared" si="1"/>
        <v>18.706666666666667</v>
      </c>
      <c r="N18" s="56">
        <f>IF(ISBLANK(Distance),"",Open_time Control_1+(INT(Open)&amp;":"&amp;IF(ROUND(((Open-INT(Open))*60),0)&lt;10,0,"")&amp;ROUND(((Open-INT(Open))*60),0)))</f>
        <v>45563.6</v>
      </c>
      <c r="O18" s="56">
        <f>IF(ISBLANK(Distance),"",Open_time Control_1+(INT(Close)&amp;":"&amp;IF(ROUND(((Close-INT(Close))*60),0)&lt;10,0,"")&amp;ROUND(((Close-INT(Close))*60),0)))</f>
        <v>45564.029166666667</v>
      </c>
    </row>
    <row r="19" spans="2:26" ht="16.5" customHeight="1" x14ac:dyDescent="0.25">
      <c r="B19" s="57"/>
      <c r="C19" s="16" t="s">
        <v>55</v>
      </c>
      <c r="D19" s="51">
        <v>337.1</v>
      </c>
      <c r="E19" s="52" t="s">
        <v>56</v>
      </c>
      <c r="F19" s="53"/>
      <c r="G19" s="53" t="s">
        <v>57</v>
      </c>
      <c r="H19" s="54"/>
      <c r="I19" s="53"/>
      <c r="J19" s="53"/>
      <c r="K19" s="54"/>
      <c r="L19">
        <f t="shared" si="0"/>
        <v>10.166775000000001</v>
      </c>
      <c r="M19">
        <f t="shared" si="1"/>
        <v>22.473333333333336</v>
      </c>
      <c r="N19" s="56">
        <f>IF(ISBLANK(Distance),"",Open_time Control_1+(INT(Open)&amp;":"&amp;IF(ROUND(((Open-INT(Open))*60),0)&lt;10,0,"")&amp;ROUND(((Open-INT(Open))*60),0)))</f>
        <v>45563.673611111109</v>
      </c>
      <c r="O19" s="56">
        <f>IF(ISBLANK(Distance),"",Open_time Control_1+(INT(Close)&amp;":"&amp;IF(ROUND(((Close-INT(Close))*60),0)&lt;10,0,"")&amp;ROUND(((Close-INT(Close))*60),0)))</f>
        <v>45564.186111111114</v>
      </c>
      <c r="Q19" s="17"/>
    </row>
    <row r="20" spans="2:26" ht="16.5" customHeight="1" x14ac:dyDescent="0.25">
      <c r="B20" s="57"/>
      <c r="C20" s="16" t="s">
        <v>58</v>
      </c>
      <c r="D20" s="51">
        <v>517.70000000000005</v>
      </c>
      <c r="E20" s="52" t="s">
        <v>59</v>
      </c>
      <c r="F20" s="53" t="s">
        <v>60</v>
      </c>
      <c r="G20" s="53" t="s">
        <v>61</v>
      </c>
      <c r="H20" s="54"/>
      <c r="I20" s="53" t="s">
        <v>62</v>
      </c>
      <c r="J20" s="53"/>
      <c r="K20" s="54"/>
      <c r="L20">
        <f t="shared" si="0"/>
        <v>16.055733333333336</v>
      </c>
      <c r="M20">
        <f t="shared" si="1"/>
        <v>34.513333333333335</v>
      </c>
      <c r="N20" s="56">
        <f>IF(ISBLANK(Distance),"",Open_time Control_1+(INT(Open)&amp;":"&amp;IF(ROUND(((Open-INT(Open))*60),0)&lt;10,0,"")&amp;ROUND(((Open-INT(Open))*60),0)))</f>
        <v>45563.918749999997</v>
      </c>
      <c r="O20" s="56">
        <f>IF(ISBLANK(Distance),"",Open_time Control_1+(INT(Close)&amp;":"&amp;IF(ROUND(((Close-INT(Close))*60),0)&lt;10,0,"")&amp;ROUND(((Close-INT(Close))*60),0)))</f>
        <v>45564.688194444447</v>
      </c>
    </row>
    <row r="21" spans="2:26" ht="16.5" customHeight="1" x14ac:dyDescent="0.25">
      <c r="B21" s="57"/>
      <c r="C21" s="16" t="s">
        <v>63</v>
      </c>
      <c r="D21" s="51">
        <v>693</v>
      </c>
      <c r="E21" s="52" t="s">
        <v>64</v>
      </c>
      <c r="F21" s="53" t="s">
        <v>65</v>
      </c>
      <c r="G21" s="53" t="s">
        <v>66</v>
      </c>
      <c r="H21" s="54"/>
      <c r="I21" s="53"/>
      <c r="J21" s="53"/>
      <c r="K21" s="54"/>
      <c r="L21">
        <f t="shared" si="0"/>
        <v>22.120428571428572</v>
      </c>
      <c r="M21">
        <f t="shared" si="1"/>
        <v>48.137500000000003</v>
      </c>
      <c r="N21" s="56">
        <f>IF(ISBLANK(Distance),"",Open_time Control_1+(INT(Open)&amp;":"&amp;IF(ROUND(((Open-INT(Open))*60),0)&lt;10,0,"")&amp;ROUND(((Open-INT(Open))*60),0)))</f>
        <v>45564.171527777777</v>
      </c>
      <c r="O21" s="56">
        <f>IF(ISBLANK(Distance),"",Open_time Control_1+(INT(Close)&amp;":"&amp;IF(ROUND(((Close-INT(Close))*60),0)&lt;10,0,"")&amp;ROUND(((Close-INT(Close))*60),0)))</f>
        <v>45565.255555555559</v>
      </c>
    </row>
    <row r="22" spans="2:26" ht="16.5" customHeight="1" x14ac:dyDescent="0.25">
      <c r="B22" s="57"/>
      <c r="C22" s="16" t="s">
        <v>67</v>
      </c>
      <c r="D22" s="51">
        <v>768.1</v>
      </c>
      <c r="E22" s="52" t="s">
        <v>68</v>
      </c>
      <c r="F22" s="53"/>
      <c r="G22" s="53" t="s">
        <v>57</v>
      </c>
      <c r="H22" s="54"/>
      <c r="I22" s="53"/>
      <c r="J22" s="53"/>
      <c r="K22" s="54"/>
      <c r="L22">
        <f t="shared" si="0"/>
        <v>24.802571428571429</v>
      </c>
      <c r="M22">
        <f t="shared" si="1"/>
        <v>54.708750000000002</v>
      </c>
      <c r="N22" s="56">
        <f>IF(ISBLANK(Distance),"",Open_time Control_1+(INT(Open)&amp;":"&amp;IF(ROUND(((Open-INT(Open))*60),0)&lt;10,0,"")&amp;ROUND(((Open-INT(Open))*60),0)))</f>
        <v>45564.283333333333</v>
      </c>
      <c r="O22" s="56">
        <f>IF(ISBLANK(Distance),"",Open_time Control_1+(INT(Close)&amp;":"&amp;IF(ROUND(((Close-INT(Close))*60),0)&lt;10,0,"")&amp;ROUND(((Close-INT(Close))*60),0)))</f>
        <v>45565.529861111114</v>
      </c>
    </row>
    <row r="23" spans="2:26" ht="16.5" customHeight="1" x14ac:dyDescent="0.25">
      <c r="B23" s="57"/>
      <c r="C23" s="16" t="s">
        <v>69</v>
      </c>
      <c r="D23" s="51">
        <v>898.8</v>
      </c>
      <c r="E23" s="52" t="s">
        <v>70</v>
      </c>
      <c r="F23" s="53" t="s">
        <v>71</v>
      </c>
      <c r="G23" s="53" t="s">
        <v>72</v>
      </c>
      <c r="H23" s="54"/>
      <c r="I23" s="53"/>
      <c r="J23" s="53"/>
      <c r="K23" s="54"/>
      <c r="L23">
        <f t="shared" si="0"/>
        <v>29.47042857142857</v>
      </c>
      <c r="M23">
        <f t="shared" si="1"/>
        <v>66.144999999999996</v>
      </c>
      <c r="N23" s="56">
        <f>IF(ISBLANK(Distance),"",Open_time Control_1+(INT(Open)&amp;":"&amp;IF(ROUND(((Open-INT(Open))*60),0)&lt;10,0,"")&amp;ROUND(((Open-INT(Open))*60),0)))</f>
        <v>45564.477777777778</v>
      </c>
      <c r="O23" s="56">
        <f>IF(ISBLANK(Distance),"",Open_time Control_1+(INT(Close)&amp;":"&amp;IF(ROUND(((Close-INT(Close))*60),0)&lt;10,0,"")&amp;ROUND(((Close-INT(Close))*60),0)))</f>
        <v>45566.006249999999</v>
      </c>
    </row>
    <row r="24" spans="2:26" ht="16.5" customHeight="1" x14ac:dyDescent="0.25">
      <c r="B24" s="57"/>
      <c r="C24" s="16" t="s">
        <v>73</v>
      </c>
      <c r="D24" s="58">
        <v>1002.5</v>
      </c>
      <c r="E24" s="59" t="s">
        <v>39</v>
      </c>
      <c r="F24" s="53" t="s">
        <v>40</v>
      </c>
      <c r="G24" s="53" t="s">
        <v>41</v>
      </c>
      <c r="H24" s="54"/>
      <c r="I24" s="53"/>
      <c r="J24" s="53"/>
      <c r="K24" s="54"/>
      <c r="L24">
        <f t="shared" si="0"/>
        <v>33.180853846153845</v>
      </c>
      <c r="M24">
        <f t="shared" si="1"/>
        <v>75</v>
      </c>
      <c r="N24" s="56">
        <f>IF(ISBLANK(Distance),"",Open_time Control_1+(INT(Open)&amp;":"&amp;IF(ROUND(((Open-INT(Open))*60),0)&lt;10,0,"")&amp;ROUND(((Open-INT(Open))*60),0)))</f>
        <v>45564.632638888892</v>
      </c>
      <c r="O24" s="56">
        <f>IF(ISBLANK(Distance),"",Open_time Control_1+(INT(Close)&amp;":"&amp;IF(ROUND(((Close-INT(Close))*60),0)&lt;10,0,"")&amp;ROUND(((Close-INT(Close))*60),0)))</f>
        <v>45566.375</v>
      </c>
    </row>
    <row r="25" spans="2:26" ht="6.75" customHeight="1" x14ac:dyDescent="0.35">
      <c r="D25" s="60"/>
      <c r="E25" s="61"/>
      <c r="F25" s="62"/>
      <c r="G25" s="62"/>
      <c r="H25" s="62"/>
      <c r="I25" s="62"/>
      <c r="J25" s="62"/>
      <c r="K25" s="63"/>
      <c r="N25" s="56"/>
      <c r="O25" s="56"/>
    </row>
    <row r="26" spans="2:26" x14ac:dyDescent="0.25">
      <c r="D26" s="10" t="s">
        <v>74</v>
      </c>
      <c r="E26" s="10"/>
      <c r="F26" s="10"/>
      <c r="G26" s="10"/>
      <c r="H26" s="10"/>
      <c r="I26" s="9" t="s">
        <v>75</v>
      </c>
      <c r="J26" s="9"/>
      <c r="K26" s="9"/>
    </row>
    <row r="27" spans="2:26" ht="13.8" x14ac:dyDescent="0.3">
      <c r="D27" s="46" t="s">
        <v>25</v>
      </c>
      <c r="E27" s="47" t="s">
        <v>26</v>
      </c>
      <c r="F27" s="48" t="s">
        <v>27</v>
      </c>
      <c r="G27" s="48" t="s">
        <v>28</v>
      </c>
      <c r="H27" s="49" t="s">
        <v>29</v>
      </c>
      <c r="I27" s="47" t="s">
        <v>30</v>
      </c>
      <c r="J27" s="47" t="s">
        <v>31</v>
      </c>
      <c r="K27" s="50" t="s">
        <v>32</v>
      </c>
      <c r="L27" t="s">
        <v>33</v>
      </c>
      <c r="M27" t="s">
        <v>34</v>
      </c>
      <c r="N27" t="s">
        <v>35</v>
      </c>
      <c r="O27" t="s">
        <v>36</v>
      </c>
    </row>
    <row r="28" spans="2:26" ht="16.5" customHeight="1" x14ac:dyDescent="0.25">
      <c r="D28" s="51"/>
      <c r="E28" s="52"/>
      <c r="F28" s="53"/>
      <c r="G28" s="53"/>
      <c r="H28" s="54"/>
      <c r="I28" s="53"/>
      <c r="J28" s="53"/>
      <c r="K28" s="54"/>
      <c r="L28" t="str">
        <f t="shared" ref="L28:L37" si="2">IF(ISBLANK(D28),"",IF(D28&gt;1000,(D28-1000)/26+33.0847,(IF(D28&gt;600,(D28-600)/28+18.799,(IF(D28&gt;400,(D28-400)/30+12.1324,(IF(D28&gt;200,(D28-200)/32+5.8824,D28/34))))))))</f>
        <v/>
      </c>
      <c r="M28" t="str">
        <f t="shared" ref="M28:M37" si="3">IF(ISBLANK(D28),"",IF((D28=0),1,IF(D28&gt;=brevet,IF(brevet&gt;1200,(brevet-1200)*75/1000+90,Max_time),IF(D28&gt;1200,(D28-1200)*75/1000+90,IF(D28&gt;1000,(D28-1000)/(1000/75)+75,IF(D28&gt;600,(D28-600)/(400/35)+40,IF(D28&lt;=60,D28/20+1,D28/15)))))))</f>
        <v/>
      </c>
      <c r="N28" s="56" t="str">
        <f>IF(ISBLANK(D28),"",Open_time Control_1+(INT(L28)&amp;":"&amp;IF(ROUND(((L28-INT(L28))*60),0)&lt;10,0,"")&amp;ROUND(((L28-INT(L28))*60),0)))</f>
        <v/>
      </c>
      <c r="O28" s="56" t="str">
        <f>IF(ISBLANK(D28),"",Open_time Control_1+(INT(M28)&amp;":"&amp;IF(ROUND(((M28-INT(M28))*60),0)&lt;10,0,"")&amp;ROUND(((M28-INT(M28))*60),0)))</f>
        <v/>
      </c>
    </row>
    <row r="29" spans="2:26" ht="16.5" customHeight="1" x14ac:dyDescent="0.25">
      <c r="D29" s="51"/>
      <c r="E29" s="52"/>
      <c r="F29" s="53"/>
      <c r="G29" s="53"/>
      <c r="H29" s="54"/>
      <c r="I29" s="53"/>
      <c r="J29" s="53"/>
      <c r="K29" s="54"/>
      <c r="L29" t="str">
        <f t="shared" si="2"/>
        <v/>
      </c>
      <c r="M29" t="str">
        <f t="shared" si="3"/>
        <v/>
      </c>
      <c r="N29" s="56" t="str">
        <f>IF(ISBLANK(D29),"",Open_time Control_1+(INT(L29)&amp;":"&amp;IF(ROUND(((L29-INT(L29))*60),0)&lt;10,0,"")&amp;ROUND(((L29-INT(L29))*60),0)))</f>
        <v/>
      </c>
      <c r="O29" s="56" t="str">
        <f>IF(ISBLANK(D29),"",Open_time Control_1+(INT(M29)&amp;":"&amp;IF(ROUND(((M29-INT(M29))*60),0)&lt;10,0,"")&amp;ROUND(((M29-INT(M29))*60),0)))</f>
        <v/>
      </c>
    </row>
    <row r="30" spans="2:26" ht="16.5" customHeight="1" x14ac:dyDescent="0.25">
      <c r="D30" s="51"/>
      <c r="E30" s="52"/>
      <c r="F30" s="53"/>
      <c r="G30" s="53"/>
      <c r="H30" s="54"/>
      <c r="I30" s="53"/>
      <c r="J30" s="53"/>
      <c r="K30" s="54"/>
      <c r="L30" t="str">
        <f t="shared" si="2"/>
        <v/>
      </c>
      <c r="M30" t="str">
        <f t="shared" si="3"/>
        <v/>
      </c>
      <c r="N30" s="56" t="str">
        <f>IF(ISBLANK(D30),"",Open_time Control_1+(INT(L30)&amp;":"&amp;IF(ROUND(((L30-INT(L30))*60),0)&lt;10,0,"")&amp;ROUND(((L30-INT(L30))*60),0)))</f>
        <v/>
      </c>
      <c r="O30" s="56" t="str">
        <f>IF(ISBLANK(D30),"",Open_time Control_1+(INT(M30)&amp;":"&amp;IF(ROUND(((M30-INT(M30))*60),0)&lt;10,0,"")&amp;ROUND(((M30-INT(M30))*60),0)))</f>
        <v/>
      </c>
    </row>
    <row r="31" spans="2:26" ht="16.5" customHeight="1" x14ac:dyDescent="0.25">
      <c r="D31" s="51"/>
      <c r="E31" s="52"/>
      <c r="F31" s="53"/>
      <c r="G31" s="53"/>
      <c r="H31" s="54"/>
      <c r="I31" s="53"/>
      <c r="J31" s="53"/>
      <c r="K31" s="54"/>
      <c r="L31" t="str">
        <f t="shared" si="2"/>
        <v/>
      </c>
      <c r="M31" t="str">
        <f t="shared" si="3"/>
        <v/>
      </c>
      <c r="N31" s="56" t="str">
        <f>IF(ISBLANK(D31),"",Open_time Control_1+(INT(L31)&amp;":"&amp;IF(ROUND(((L31-INT(L31))*60),0)&lt;10,0,"")&amp;ROUND(((L31-INT(L31))*60),0)))</f>
        <v/>
      </c>
      <c r="O31" s="56" t="str">
        <f>IF(ISBLANK(D31),"",Open_time Control_1+(INT(M31)&amp;":"&amp;IF(ROUND(((M31-INT(M31))*60),0)&lt;10,0,"")&amp;ROUND(((M31-INT(M31))*60),0)))</f>
        <v/>
      </c>
    </row>
    <row r="32" spans="2:26" ht="16.5" customHeight="1" x14ac:dyDescent="0.25">
      <c r="D32" s="51"/>
      <c r="E32" s="52"/>
      <c r="F32" s="53"/>
      <c r="G32" s="53"/>
      <c r="H32" s="54"/>
      <c r="I32" s="53"/>
      <c r="J32" s="53"/>
      <c r="K32" s="54"/>
      <c r="L32" t="str">
        <f t="shared" si="2"/>
        <v/>
      </c>
      <c r="M32" t="str">
        <f t="shared" si="3"/>
        <v/>
      </c>
      <c r="N32" s="56" t="str">
        <f>IF(ISBLANK(D32),"",Open_time Control_1+(INT(L32)&amp;":"&amp;IF(ROUND(((L32-INT(L32))*60),0)&lt;10,0,"")&amp;ROUND(((L32-INT(L32))*60),0)))</f>
        <v/>
      </c>
      <c r="O32" s="56" t="str">
        <f>IF(ISBLANK(D32),"",Open_time Control_1+(INT(M32)&amp;":"&amp;IF(ROUND(((M32-INT(M32))*60),0)&lt;10,0,"")&amp;ROUND(((M32-INT(M32))*60),0)))</f>
        <v/>
      </c>
    </row>
    <row r="33" spans="4:15" ht="16.5" customHeight="1" x14ac:dyDescent="0.25">
      <c r="D33" s="51"/>
      <c r="E33" s="52"/>
      <c r="F33" s="53"/>
      <c r="G33" s="53"/>
      <c r="H33" s="54"/>
      <c r="I33" s="53"/>
      <c r="J33" s="53"/>
      <c r="K33" s="54"/>
      <c r="L33" t="str">
        <f t="shared" si="2"/>
        <v/>
      </c>
      <c r="M33" t="str">
        <f t="shared" si="3"/>
        <v/>
      </c>
      <c r="N33" s="56" t="str">
        <f>IF(ISBLANK(D33),"",Open_time Control_1+(INT(L33)&amp;":"&amp;IF(ROUND(((L33-INT(L33))*60),0)&lt;10,0,"")&amp;ROUND(((L33-INT(L33))*60),0)))</f>
        <v/>
      </c>
      <c r="O33" s="56" t="str">
        <f>IF(ISBLANK(D33),"",Open_time Control_1+(INT(M33)&amp;":"&amp;IF(ROUND(((M33-INT(M33))*60),0)&lt;10,0,"")&amp;ROUND(((M33-INT(M33))*60),0)))</f>
        <v/>
      </c>
    </row>
    <row r="34" spans="4:15" ht="16.5" customHeight="1" x14ac:dyDescent="0.25">
      <c r="D34" s="51"/>
      <c r="E34" s="52"/>
      <c r="F34" s="53"/>
      <c r="G34" s="53"/>
      <c r="H34" s="54"/>
      <c r="I34" s="53"/>
      <c r="J34" s="53"/>
      <c r="K34" s="54"/>
      <c r="L34" t="str">
        <f t="shared" si="2"/>
        <v/>
      </c>
      <c r="M34" t="str">
        <f t="shared" si="3"/>
        <v/>
      </c>
      <c r="N34" s="56" t="str">
        <f>IF(ISBLANK(D34),"",Open_time Control_1+(INT(L34)&amp;":"&amp;IF(ROUND(((L34-INT(L34))*60),0)&lt;10,0,"")&amp;ROUND(((L34-INT(L34))*60),0)))</f>
        <v/>
      </c>
      <c r="O34" s="56" t="str">
        <f>IF(ISBLANK(D34),"",Open_time Control_1+(INT(M34)&amp;":"&amp;IF(ROUND(((M34-INT(M34))*60),0)&lt;10,0,"")&amp;ROUND(((M34-INT(M34))*60),0)))</f>
        <v/>
      </c>
    </row>
    <row r="35" spans="4:15" ht="16.5" customHeight="1" x14ac:dyDescent="0.25">
      <c r="D35" s="51"/>
      <c r="E35" s="52"/>
      <c r="F35" s="53"/>
      <c r="G35" s="53"/>
      <c r="H35" s="54"/>
      <c r="I35" s="53"/>
      <c r="J35" s="53"/>
      <c r="K35" s="54"/>
      <c r="L35" t="str">
        <f t="shared" si="2"/>
        <v/>
      </c>
      <c r="M35" t="str">
        <f t="shared" si="3"/>
        <v/>
      </c>
      <c r="N35" s="56" t="str">
        <f>IF(ISBLANK(D35),"",Open_time Control_1+(INT(L35)&amp;":"&amp;IF(ROUND(((L35-INT(L35))*60),0)&lt;10,0,"")&amp;ROUND(((L35-INT(L35))*60),0)))</f>
        <v/>
      </c>
      <c r="O35" s="56" t="str">
        <f>IF(ISBLANK(D35),"",Open_time Control_1+(INT(M35)&amp;":"&amp;IF(ROUND(((M35-INT(M35))*60),0)&lt;10,0,"")&amp;ROUND(((M35-INT(M35))*60),0)))</f>
        <v/>
      </c>
    </row>
    <row r="36" spans="4:15" ht="16.5" customHeight="1" x14ac:dyDescent="0.25">
      <c r="D36" s="51"/>
      <c r="E36" s="52"/>
      <c r="F36" s="53"/>
      <c r="G36" s="53"/>
      <c r="H36" s="54"/>
      <c r="I36" s="53"/>
      <c r="J36" s="53"/>
      <c r="K36" s="54"/>
      <c r="L36" t="str">
        <f t="shared" si="2"/>
        <v/>
      </c>
      <c r="M36" t="str">
        <f t="shared" si="3"/>
        <v/>
      </c>
      <c r="N36" s="56" t="str">
        <f>IF(ISBLANK(D36),"",Open_time Control_1+(INT(L36)&amp;":"&amp;IF(ROUND(((L36-INT(L36))*60),0)&lt;10,0,"")&amp;ROUND(((L36-INT(L36))*60),0)))</f>
        <v/>
      </c>
      <c r="O36" s="56" t="str">
        <f>IF(ISBLANK(D36),"",Open_time Control_1+(INT(M36)&amp;":"&amp;IF(ROUND(((M36-INT(M36))*60),0)&lt;10,0,"")&amp;ROUND(((M36-INT(M36))*60),0)))</f>
        <v/>
      </c>
    </row>
    <row r="37" spans="4:15" ht="16.5" customHeight="1" x14ac:dyDescent="0.25">
      <c r="D37" s="58"/>
      <c r="E37" s="52"/>
      <c r="F37" s="53"/>
      <c r="G37" s="53"/>
      <c r="H37" s="54"/>
      <c r="I37" s="53"/>
      <c r="J37" s="53"/>
      <c r="K37" s="54"/>
      <c r="L37" t="str">
        <f t="shared" si="2"/>
        <v/>
      </c>
      <c r="M37" t="str">
        <f t="shared" si="3"/>
        <v/>
      </c>
      <c r="N37" s="56" t="str">
        <f>IF(ISBLANK(D37),"",Open_time Control_1+(INT(L37)&amp;":"&amp;IF(ROUND(((L37-INT(L37))*60),0)&lt;10,0,"")&amp;ROUND(((L37-INT(L37))*60),0)))</f>
        <v/>
      </c>
      <c r="O37" s="56" t="str">
        <f>IF(ISBLANK(D37),"",Open_time Control_1+(INT(M37)&amp;":"&amp;IF(ROUND(((M37-INT(M37))*60),0)&lt;10,0,"")&amp;ROUND(((M37-INT(M37))*60),0)))</f>
        <v/>
      </c>
    </row>
  </sheetData>
  <sheetProtection algorithmName="SHA-512" hashValue="ZYQin6v6E0iNpcC9I7+9b2Dn0/bi5OBt8ww5WOuVvda6CZVMZiQgmrJGLfp99jaxUhYX7AQrWS8mD11fp+52iA==" saltValue="KrE9Ta/PW+LsyQkuSQ1AQA==" spinCount="100000" sheet="1" objects="1" scenarios="1" formatCells="0" selectLockedCells="1"/>
  <mergeCells count="8">
    <mergeCell ref="D26:H26"/>
    <mergeCell ref="I26:K26"/>
    <mergeCell ref="A1:G1"/>
    <mergeCell ref="Q1:AF4"/>
    <mergeCell ref="J6:K6"/>
    <mergeCell ref="B8:F8"/>
    <mergeCell ref="D13:H13"/>
    <mergeCell ref="I13:K13"/>
  </mergeCells>
  <pageMargins left="0.75" right="0.75" top="1" bottom="1" header="0.5" footer="0.5"/>
  <pageSetup orientation="portrait" horizontalDpi="300" verticalDpi="300"/>
  <headerFooter>
    <oddHeader>&amp;C&amp;A</oddHeader>
    <oddFooter>&amp;CPage &amp;P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60"/>
  <sheetViews>
    <sheetView tabSelected="1" zoomScale="70" zoomScaleNormal="70" workbookViewId="0">
      <selection activeCell="N23" sqref="N23"/>
    </sheetView>
  </sheetViews>
  <sheetFormatPr defaultColWidth="8.77734375" defaultRowHeight="13.2" x14ac:dyDescent="0.25"/>
  <cols>
    <col min="1" max="1" width="1.77734375" customWidth="1"/>
    <col min="2" max="2" width="12.77734375" customWidth="1"/>
    <col min="3" max="4" width="15.77734375" customWidth="1"/>
    <col min="5" max="5" width="25.77734375" customWidth="1"/>
    <col min="6" max="6" width="40.77734375" customWidth="1"/>
    <col min="7" max="7" width="13.6640625" customWidth="1"/>
    <col min="8" max="8" width="25.77734375" customWidth="1"/>
    <col min="9" max="9" width="30.77734375" customWidth="1"/>
    <col min="10" max="10" width="25.77734375" customWidth="1"/>
    <col min="11" max="11" width="1.77734375" customWidth="1"/>
  </cols>
  <sheetData>
    <row r="1" spans="2:15" x14ac:dyDescent="0.25">
      <c r="K1" s="64"/>
      <c r="L1" s="64"/>
      <c r="M1" s="64"/>
    </row>
    <row r="2" spans="2:15" ht="17.399999999999999" x14ac:dyDescent="0.3">
      <c r="C2" s="8" t="s">
        <v>76</v>
      </c>
      <c r="D2" s="8"/>
      <c r="E2" s="8"/>
      <c r="F2" s="8"/>
      <c r="G2" s="65"/>
      <c r="H2" s="65"/>
      <c r="I2" s="66" t="s">
        <v>77</v>
      </c>
      <c r="J2" s="67">
        <f>'Control Entry'!B4</f>
        <v>0</v>
      </c>
      <c r="K2" s="65"/>
      <c r="L2" s="65"/>
    </row>
    <row r="3" spans="2:15" ht="45" customHeight="1" x14ac:dyDescent="0.7">
      <c r="D3" s="68"/>
      <c r="E3" s="7" t="s">
        <v>78</v>
      </c>
      <c r="F3" s="7"/>
      <c r="G3" s="7"/>
      <c r="H3" s="7"/>
      <c r="I3" s="69" t="s">
        <v>79</v>
      </c>
      <c r="J3" s="70">
        <f>IF(ISBLANK(Brevet_Number),"",Brevet_Number)</f>
        <v>5365</v>
      </c>
      <c r="K3" s="71"/>
      <c r="L3" s="71"/>
    </row>
    <row r="4" spans="2:15" ht="19.5" customHeight="1" x14ac:dyDescent="0.25">
      <c r="C4" s="68"/>
      <c r="E4" s="6" t="str">
        <f>IF(ISBLANK(Brevet_Length),"",Brevet_Length&amp;" km Randonnée")</f>
        <v>1000 km Randonnée</v>
      </c>
      <c r="F4" s="6"/>
      <c r="G4" s="6"/>
      <c r="H4" s="6"/>
      <c r="K4" s="72"/>
      <c r="L4" s="72"/>
    </row>
    <row r="5" spans="2:15" ht="19.5" customHeight="1" x14ac:dyDescent="0.4">
      <c r="D5" s="73"/>
      <c r="E5" s="5" t="str">
        <f>IF(ISBLANK(Brevet_Description),"",Brevet_Description)</f>
        <v>LM September 1000 Williams Lake NDTR</v>
      </c>
      <c r="F5" s="5"/>
      <c r="G5" s="5"/>
      <c r="H5" s="5"/>
      <c r="I5" s="74"/>
      <c r="J5" s="73"/>
      <c r="K5" s="73"/>
      <c r="L5" s="73"/>
    </row>
    <row r="6" spans="2:15" ht="21" x14ac:dyDescent="0.4">
      <c r="D6" s="75"/>
      <c r="E6" s="5"/>
      <c r="F6" s="5"/>
      <c r="G6" s="5"/>
      <c r="H6" s="5"/>
      <c r="I6" s="74"/>
      <c r="J6" s="75"/>
      <c r="K6" s="73"/>
      <c r="L6" s="73"/>
    </row>
    <row r="7" spans="2:15" ht="24.75" customHeight="1" x14ac:dyDescent="0.25">
      <c r="C7" s="4"/>
      <c r="D7" s="4"/>
      <c r="E7" s="4"/>
      <c r="F7" s="4"/>
      <c r="H7" s="3"/>
    </row>
    <row r="8" spans="2:15" ht="20.399999999999999" x14ac:dyDescent="0.35">
      <c r="B8" s="76" t="s">
        <v>80</v>
      </c>
      <c r="C8" s="4"/>
      <c r="D8" s="4"/>
      <c r="E8" s="4"/>
      <c r="F8" s="4"/>
      <c r="G8" s="76" t="s">
        <v>81</v>
      </c>
      <c r="H8" s="3"/>
      <c r="I8" s="77"/>
      <c r="J8" s="77"/>
      <c r="K8" s="77"/>
    </row>
    <row r="9" spans="2:15" ht="21.75" customHeight="1" x14ac:dyDescent="0.25">
      <c r="B9" s="78"/>
      <c r="C9" s="78"/>
      <c r="D9" s="78"/>
      <c r="E9" s="78"/>
      <c r="F9" s="79"/>
      <c r="G9" s="80"/>
      <c r="H9" s="80"/>
      <c r="I9" s="80"/>
      <c r="J9" s="79"/>
    </row>
    <row r="10" spans="2:15" ht="38.1" customHeight="1" x14ac:dyDescent="0.25">
      <c r="B10" s="2" t="s">
        <v>82</v>
      </c>
      <c r="C10" s="2"/>
      <c r="D10" s="81" t="s">
        <v>83</v>
      </c>
      <c r="E10" s="1" t="s">
        <v>84</v>
      </c>
      <c r="F10" s="1"/>
      <c r="G10" s="1"/>
      <c r="H10" s="81"/>
      <c r="I10" s="82"/>
      <c r="J10" s="82"/>
      <c r="K10" s="83"/>
      <c r="L10" s="116"/>
      <c r="M10" s="116"/>
      <c r="N10" s="116"/>
      <c r="O10" s="116"/>
    </row>
    <row r="11" spans="2:15" ht="22.8" x14ac:dyDescent="0.25">
      <c r="B11" s="78"/>
      <c r="C11" s="78" t="s">
        <v>85</v>
      </c>
      <c r="D11" s="78"/>
      <c r="E11" s="78"/>
      <c r="F11" s="79"/>
      <c r="G11" s="80"/>
      <c r="H11" s="80"/>
      <c r="I11" s="80"/>
      <c r="J11" s="79"/>
    </row>
    <row r="12" spans="2:15" ht="20.399999999999999" x14ac:dyDescent="0.35">
      <c r="D12" s="117" t="s">
        <v>19</v>
      </c>
      <c r="E12" s="117"/>
      <c r="F12" s="84">
        <f>IF(ISBLANK('Control Entry'!B12),"",'Control Entry'!B12)</f>
        <v>45563</v>
      </c>
      <c r="G12" s="85"/>
      <c r="H12" s="76" t="s">
        <v>86</v>
      </c>
      <c r="I12" s="86">
        <f>IF(ISBLANK('Control Entry'!B13),"",'Control Entry'!B13)</f>
        <v>0.25</v>
      </c>
      <c r="J12" s="87"/>
    </row>
    <row r="13" spans="2:15" ht="20.399999999999999" x14ac:dyDescent="0.35">
      <c r="D13" s="88"/>
      <c r="E13" s="88"/>
      <c r="F13" s="89"/>
      <c r="G13" s="89"/>
      <c r="H13" s="89"/>
      <c r="L13" s="87"/>
      <c r="M13" s="87"/>
      <c r="N13" s="87"/>
    </row>
    <row r="14" spans="2:15" ht="20.399999999999999" x14ac:dyDescent="0.35">
      <c r="D14" s="117" t="s">
        <v>87</v>
      </c>
      <c r="E14" s="117"/>
      <c r="F14" s="84"/>
      <c r="G14" s="85"/>
      <c r="H14" s="76" t="s">
        <v>88</v>
      </c>
      <c r="I14" s="86"/>
      <c r="J14" s="87"/>
      <c r="L14" s="41"/>
      <c r="M14" s="41"/>
      <c r="N14" s="41"/>
    </row>
    <row r="15" spans="2:15" ht="20.399999999999999" x14ac:dyDescent="0.35">
      <c r="B15" s="88"/>
      <c r="C15" s="88"/>
      <c r="D15" s="89"/>
      <c r="E15" s="89"/>
      <c r="H15" s="89"/>
    </row>
    <row r="16" spans="2:15" ht="20.399999999999999" x14ac:dyDescent="0.35">
      <c r="C16" s="90"/>
      <c r="D16" s="90"/>
      <c r="E16" s="90"/>
      <c r="F16" s="90"/>
      <c r="H16" s="76" t="s">
        <v>89</v>
      </c>
      <c r="I16" s="86"/>
      <c r="J16" s="87"/>
      <c r="L16" s="41"/>
      <c r="M16" s="41"/>
      <c r="N16" s="41"/>
    </row>
    <row r="17" spans="2:15" ht="20.399999999999999" x14ac:dyDescent="0.25">
      <c r="C17" s="118" t="s">
        <v>90</v>
      </c>
      <c r="D17" s="118"/>
      <c r="E17" s="118"/>
      <c r="F17" s="118"/>
      <c r="G17" s="83"/>
      <c r="H17" s="83"/>
      <c r="I17" s="119"/>
      <c r="J17" s="119"/>
      <c r="K17" s="83"/>
      <c r="L17" s="116"/>
      <c r="M17" s="116"/>
      <c r="N17" s="116"/>
      <c r="O17" s="116"/>
    </row>
    <row r="18" spans="2:15" ht="6" customHeight="1" x14ac:dyDescent="0.25">
      <c r="B18" s="91"/>
      <c r="C18" s="91"/>
      <c r="D18" s="91"/>
      <c r="E18" s="91"/>
      <c r="F18" s="92"/>
      <c r="G18" s="93"/>
      <c r="H18" s="93"/>
      <c r="I18" s="93"/>
      <c r="J18" s="92"/>
    </row>
    <row r="19" spans="2:15" ht="20.399999999999999" x14ac:dyDescent="0.25">
      <c r="B19" s="120" t="s">
        <v>91</v>
      </c>
      <c r="C19" s="120"/>
      <c r="D19" s="120"/>
      <c r="E19" s="120"/>
      <c r="F19" s="120"/>
      <c r="G19" s="120"/>
      <c r="H19" s="120"/>
      <c r="I19" s="120"/>
      <c r="J19" s="120"/>
    </row>
    <row r="20" spans="2:15" s="34" customFormat="1" ht="17.399999999999999" x14ac:dyDescent="0.3">
      <c r="B20" s="94" t="s">
        <v>92</v>
      </c>
      <c r="C20" s="95" t="s">
        <v>33</v>
      </c>
      <c r="D20" s="95" t="s">
        <v>34</v>
      </c>
      <c r="E20" s="95" t="s">
        <v>26</v>
      </c>
      <c r="F20" s="95" t="s">
        <v>93</v>
      </c>
      <c r="G20" s="121" t="s">
        <v>94</v>
      </c>
      <c r="H20" s="121"/>
      <c r="I20" s="121"/>
      <c r="J20" s="94" t="s">
        <v>95</v>
      </c>
    </row>
    <row r="21" spans="2:15" ht="39.75" customHeight="1" x14ac:dyDescent="0.45">
      <c r="B21" s="96"/>
      <c r="C21" s="97">
        <f>Control_1 Open_time</f>
        <v>45563.25</v>
      </c>
      <c r="D21" s="97">
        <f>Control_1 Close_time</f>
        <v>45563.291666666664</v>
      </c>
      <c r="E21" s="98"/>
      <c r="F21" s="99" t="str">
        <f>IF(ISBLANK(Control_1 Establishment_1),"",Control_1 Establishment_1)</f>
        <v>Horseshoe Bay ferry terminal</v>
      </c>
      <c r="G21" s="122" t="str">
        <f>IF(ISBLANK('Control Entry'!I15),"",'Control Entry'!I15)</f>
        <v>Bystander signature</v>
      </c>
      <c r="H21" s="122"/>
      <c r="I21" s="122"/>
      <c r="J21" s="100"/>
    </row>
    <row r="22" spans="2:15" ht="39.75" customHeight="1" x14ac:dyDescent="0.4">
      <c r="B22" s="101">
        <f>IF(ISBLANK(Distance Control_1),"",Control_1 Distance)</f>
        <v>0</v>
      </c>
      <c r="C22" s="102">
        <f>Control_1 Open_time</f>
        <v>45563.25</v>
      </c>
      <c r="D22" s="102">
        <f>Control_1 Close_time</f>
        <v>45563.291666666664</v>
      </c>
      <c r="E22" s="99" t="str">
        <f>IF(ISBLANK(Locale Control_1),"",Locale Control_1)</f>
        <v>West Vancouver</v>
      </c>
      <c r="F22" s="99" t="str">
        <f>IF(ISBLANK(Control_1 Establishment_2),"",Control_1 Establishment_2)</f>
        <v>6750 Keith Rd</v>
      </c>
      <c r="G22" s="123" t="str">
        <f>IF(ISBLANK('Control Entry'!J15),"",'Control Entry'!J15)</f>
        <v/>
      </c>
      <c r="H22" s="123"/>
      <c r="I22" s="123"/>
      <c r="J22" s="103"/>
    </row>
    <row r="23" spans="2:15" ht="39.75" customHeight="1" x14ac:dyDescent="0.45">
      <c r="B23" s="104"/>
      <c r="C23" s="105">
        <f>Control_1 Open_time</f>
        <v>45563.25</v>
      </c>
      <c r="D23" s="105">
        <f>Control_1 Close_time</f>
        <v>45563.291666666664</v>
      </c>
      <c r="E23" s="106"/>
      <c r="F23" s="107" t="str">
        <f>IF(ISBLANK(Control_1 Establishment_3),"",Control_1 Establishment_3)</f>
        <v/>
      </c>
      <c r="G23" s="124" t="str">
        <f>IF(ISBLANK('Control Entry'!K15),"",'Control Entry'!K15)</f>
        <v/>
      </c>
      <c r="H23" s="124"/>
      <c r="I23" s="124"/>
      <c r="J23" s="108"/>
    </row>
    <row r="24" spans="2:15" ht="39.75" customHeight="1" x14ac:dyDescent="0.45">
      <c r="B24" s="96"/>
      <c r="C24" s="97">
        <f>Control_2 Open_time</f>
        <v>45563.304861111108</v>
      </c>
      <c r="D24" s="97">
        <f>Control_2 Close_time</f>
        <v>45563.385416666664</v>
      </c>
      <c r="E24" s="109"/>
      <c r="F24" s="99" t="str">
        <f>IF(ISBLANK(Control_2 Establishment_1),"",Control_2 Establishment_1)</f>
        <v/>
      </c>
      <c r="G24" s="122" t="str">
        <f>IF(ISBLANK('Control Entry'!I16),"",'Control Entry'!I16)</f>
        <v/>
      </c>
      <c r="H24" s="122"/>
      <c r="I24" s="122"/>
      <c r="J24" s="100"/>
    </row>
    <row r="25" spans="2:15" ht="39.75" customHeight="1" x14ac:dyDescent="0.4">
      <c r="B25" s="101">
        <f>IF(ISBLANK(Distance Control_2),"",Control_2 Distance)</f>
        <v>44.9</v>
      </c>
      <c r="C25" s="102">
        <f>Control_2 Open_time</f>
        <v>45563.304861111108</v>
      </c>
      <c r="D25" s="102">
        <f>Control_2 Close_time</f>
        <v>45563.385416666664</v>
      </c>
      <c r="E25" s="99" t="str">
        <f>IF(ISBLANK(Locale Control_2),"",Locale Control_2)</f>
        <v>Squamish</v>
      </c>
      <c r="F25" s="99" t="str">
        <f>IF(ISBLANK(Control_2 Establishment_2),"",Control_2 Establishment_2)</f>
        <v>Squamish Adventure Centre</v>
      </c>
      <c r="G25" s="123" t="str">
        <f>IF(ISBLANK('Control Entry'!J16),"",'Control Entry'!J16)</f>
        <v/>
      </c>
      <c r="H25" s="123"/>
      <c r="I25" s="123"/>
      <c r="J25" s="103"/>
    </row>
    <row r="26" spans="2:15" ht="39.75" customHeight="1" x14ac:dyDescent="0.45">
      <c r="B26" s="104"/>
      <c r="C26" s="105">
        <f>Control_2 Open_time</f>
        <v>45563.304861111108</v>
      </c>
      <c r="D26" s="105">
        <f>Control_2 Close_time</f>
        <v>45563.385416666664</v>
      </c>
      <c r="E26" s="106"/>
      <c r="F26" s="107" t="str">
        <f>IF(ISBLANK(Control_2 Establishment_3),"",Control_2 Establishment_3)</f>
        <v/>
      </c>
      <c r="G26" s="124" t="str">
        <f>IF(ISBLANK('Control Entry'!K16),"",'Control Entry'!K16)</f>
        <v/>
      </c>
      <c r="H26" s="124"/>
      <c r="I26" s="124"/>
      <c r="J26" s="108"/>
    </row>
    <row r="27" spans="2:15" ht="39.75" customHeight="1" x14ac:dyDescent="0.45">
      <c r="B27" s="96"/>
      <c r="C27" s="97">
        <f>Control_3 Open_time</f>
        <v>45563.415277777778</v>
      </c>
      <c r="D27" s="97">
        <f>Control_3 Close_time</f>
        <v>45563.624305555553</v>
      </c>
      <c r="E27" s="109"/>
      <c r="F27" s="99" t="str">
        <f>IF(ISBLANK(Control_3 Establishment_1),"",Control_3 Establishment_1)</f>
        <v/>
      </c>
      <c r="G27" s="122" t="str">
        <f>IF(ISBLANK('Control Entry'!I17),"",'Control Entry'!I17)</f>
        <v/>
      </c>
      <c r="H27" s="122"/>
      <c r="I27" s="122"/>
      <c r="J27" s="100"/>
    </row>
    <row r="28" spans="2:15" ht="39.75" customHeight="1" x14ac:dyDescent="0.4">
      <c r="B28" s="101">
        <f>IF(ISBLANK(Distance Control_3),"",Control_3 Distance)</f>
        <v>134.80000000000001</v>
      </c>
      <c r="C28" s="102">
        <f>Control_3 Open_time</f>
        <v>45563.415277777778</v>
      </c>
      <c r="D28" s="102">
        <f>Control_3 Close_time</f>
        <v>45563.624305555553</v>
      </c>
      <c r="E28" s="99" t="str">
        <f>IF(ISBLANK(Locale Control_3),"",Locale Control_3)</f>
        <v>Pemberton</v>
      </c>
      <c r="F28" s="99" t="str">
        <f>IF(ISBLANK(Control_3 Establishment_2),"",Control_3 Establishment_2)</f>
        <v>Pemberton Visitor Centre</v>
      </c>
      <c r="G28" s="123" t="str">
        <f>IF(ISBLANK('Control Entry'!J17),"",'Control Entry'!J17)</f>
        <v/>
      </c>
      <c r="H28" s="123"/>
      <c r="I28" s="123"/>
      <c r="J28" s="103"/>
    </row>
    <row r="29" spans="2:15" ht="39.75" customHeight="1" x14ac:dyDescent="0.45">
      <c r="B29" s="104"/>
      <c r="C29" s="105">
        <f>Control_3 Open_time</f>
        <v>45563.415277777778</v>
      </c>
      <c r="D29" s="105">
        <f>Control_3 Close_time</f>
        <v>45563.624305555553</v>
      </c>
      <c r="E29" s="106"/>
      <c r="F29" s="107" t="str">
        <f>IF(ISBLANK(Control_3 Establishment_3),"",Control_3 Establishment_3)</f>
        <v/>
      </c>
      <c r="G29" s="124" t="str">
        <f>IF(ISBLANK('Control Entry'!K17),"",'Control Entry'!K17)</f>
        <v/>
      </c>
      <c r="H29" s="124"/>
      <c r="I29" s="124"/>
      <c r="J29" s="108"/>
    </row>
    <row r="30" spans="2:15" ht="39.75" customHeight="1" x14ac:dyDescent="0.45">
      <c r="B30" s="96"/>
      <c r="C30" s="97">
        <f>Control_4 Open_time</f>
        <v>45563.6</v>
      </c>
      <c r="D30" s="97">
        <f>Control_4 Close_time</f>
        <v>45564.029166666667</v>
      </c>
      <c r="E30" s="109"/>
      <c r="F30" s="99" t="str">
        <f>IF(ISBLANK(Control_4 Establishment_1),"",Control_4 Establishment_1)</f>
        <v/>
      </c>
      <c r="G30" s="122" t="str">
        <f>IF(ISBLANK('Control Entry'!I18),"",'Control Entry'!I18)</f>
        <v/>
      </c>
      <c r="H30" s="122"/>
      <c r="I30" s="122"/>
      <c r="J30" s="100"/>
    </row>
    <row r="31" spans="2:15" ht="39.75" customHeight="1" x14ac:dyDescent="0.4">
      <c r="B31" s="101">
        <f>IF(ISBLANK(Distance Control_4),"",Control_4 Distance)</f>
        <v>280.60000000000002</v>
      </c>
      <c r="C31" s="102">
        <f>Control_4 Open_time</f>
        <v>45563.6</v>
      </c>
      <c r="D31" s="102">
        <f>Control_4 Close_time</f>
        <v>45564.029166666667</v>
      </c>
      <c r="E31" s="99" t="str">
        <f>IF(ISBLANK(Locale Control_4),"",Locale Control_4)</f>
        <v>Marble Canyon</v>
      </c>
      <c r="F31" s="99" t="str">
        <f>IF(ISBLANK(Control_4 Establishment_2),"",Control_4 Establishment_2)</f>
        <v>Marble Canyon Provincial Park</v>
      </c>
      <c r="G31" s="123" t="str">
        <f>IF(ISBLANK('Control Entry'!J18),"",'Control Entry'!J18)</f>
        <v/>
      </c>
      <c r="H31" s="123"/>
      <c r="I31" s="123"/>
      <c r="J31" s="103"/>
    </row>
    <row r="32" spans="2:15" ht="39.75" customHeight="1" x14ac:dyDescent="0.45">
      <c r="B32" s="104"/>
      <c r="C32" s="105">
        <f>Control_4 Open_time</f>
        <v>45563.6</v>
      </c>
      <c r="D32" s="105">
        <f>Control_4 Close_time</f>
        <v>45564.029166666667</v>
      </c>
      <c r="E32" s="106"/>
      <c r="F32" s="107" t="str">
        <f>IF(ISBLANK(Control_4 Establishment_3),"",Control_4 Establishment_3)</f>
        <v/>
      </c>
      <c r="G32" s="124" t="str">
        <f>IF(ISBLANK('Control Entry'!K18),"",'Control Entry'!K18)</f>
        <v/>
      </c>
      <c r="H32" s="124"/>
      <c r="I32" s="124"/>
      <c r="J32" s="108"/>
    </row>
    <row r="33" spans="2:10" ht="39.75" customHeight="1" x14ac:dyDescent="0.45">
      <c r="B33" s="96"/>
      <c r="C33" s="97">
        <f>Control_5 Open_time</f>
        <v>45563.673611111109</v>
      </c>
      <c r="D33" s="97">
        <f>Control_5 Close_time</f>
        <v>45564.186111111114</v>
      </c>
      <c r="E33" s="109"/>
      <c r="F33" s="99" t="str">
        <f>IF(ISBLANK(Control_5 Establishment_1),"",Control_5 Establishment_1)</f>
        <v/>
      </c>
      <c r="G33" s="122" t="str">
        <f>IF(ISBLANK('Control Entry'!I19),"",'Control Entry'!I19)</f>
        <v/>
      </c>
      <c r="H33" s="122"/>
      <c r="I33" s="122"/>
      <c r="J33" s="100"/>
    </row>
    <row r="34" spans="2:10" ht="39.75" customHeight="1" x14ac:dyDescent="0.4">
      <c r="B34" s="101">
        <f>IF(ISBLANK(Distance Control_5),"",Control_5 Distance)</f>
        <v>337.1</v>
      </c>
      <c r="C34" s="102">
        <f>Control_5 Open_time</f>
        <v>45563.673611111109</v>
      </c>
      <c r="D34" s="102">
        <f>Control_5 Close_time</f>
        <v>45564.186111111114</v>
      </c>
      <c r="E34" s="99" t="str">
        <f>IF(ISBLANK(Locale Control_5),"",Locale Control_5)</f>
        <v>Clinton</v>
      </c>
      <c r="F34" s="99" t="str">
        <f>IF(ISBLANK(Control_5 Establishment_2),"",Control_5 Establishment_2)</f>
        <v>Any establishment</v>
      </c>
      <c r="G34" s="123" t="str">
        <f>IF(ISBLANK('Control Entry'!J19),"",'Control Entry'!J19)</f>
        <v/>
      </c>
      <c r="H34" s="123"/>
      <c r="I34" s="123"/>
      <c r="J34" s="103"/>
    </row>
    <row r="35" spans="2:10" ht="39.75" customHeight="1" thickBot="1" x14ac:dyDescent="0.5">
      <c r="B35" s="104"/>
      <c r="C35" s="105">
        <f>Control_5 Open_time</f>
        <v>45563.673611111109</v>
      </c>
      <c r="D35" s="105">
        <f>Control_5 Close_time</f>
        <v>45564.186111111114</v>
      </c>
      <c r="E35" s="106"/>
      <c r="F35" s="107" t="str">
        <f>IF(ISBLANK(Control_5 Establishment_3),"",Control_5 Establishment_3)</f>
        <v/>
      </c>
      <c r="G35" s="124" t="str">
        <f>IF(ISBLANK('Control Entry'!K19),"",'Control Entry'!K19)</f>
        <v/>
      </c>
      <c r="H35" s="124"/>
      <c r="I35" s="124"/>
      <c r="J35" s="108"/>
    </row>
    <row r="36" spans="2:10" ht="39.75" customHeight="1" x14ac:dyDescent="0.45">
      <c r="B36" s="96"/>
      <c r="C36" s="97">
        <v>45563.894444444442</v>
      </c>
      <c r="D36" s="97">
        <v>45564.638888888891</v>
      </c>
      <c r="E36" s="109"/>
      <c r="F36" s="99" t="s">
        <v>99</v>
      </c>
      <c r="G36" s="127" t="s">
        <v>62</v>
      </c>
      <c r="H36" s="128"/>
      <c r="I36" s="129"/>
      <c r="J36" s="100"/>
    </row>
    <row r="37" spans="2:10" ht="39.75" customHeight="1" x14ac:dyDescent="0.4">
      <c r="B37" s="101">
        <v>500</v>
      </c>
      <c r="C37" s="102">
        <v>45563.894444444442</v>
      </c>
      <c r="D37" s="102">
        <v>45564.638888888891</v>
      </c>
      <c r="E37" s="99" t="s">
        <v>59</v>
      </c>
      <c r="F37" s="99" t="s">
        <v>57</v>
      </c>
      <c r="G37" s="123" t="s">
        <v>100</v>
      </c>
      <c r="H37" s="123"/>
      <c r="I37" s="123"/>
      <c r="J37" s="103"/>
    </row>
    <row r="38" spans="2:10" ht="39.75" customHeight="1" thickBot="1" x14ac:dyDescent="0.5">
      <c r="B38" s="104"/>
      <c r="C38" s="105">
        <v>45563.894444444442</v>
      </c>
      <c r="D38" s="105">
        <v>45564.638888888891</v>
      </c>
      <c r="E38" s="106"/>
      <c r="F38" s="107" t="s">
        <v>100</v>
      </c>
      <c r="G38" s="124" t="s">
        <v>100</v>
      </c>
      <c r="H38" s="124"/>
      <c r="I38" s="124"/>
      <c r="J38" s="108"/>
    </row>
    <row r="39" spans="2:10" ht="39.75" customHeight="1" x14ac:dyDescent="0.45">
      <c r="B39" s="96"/>
      <c r="C39" s="97">
        <f>Control_6 Open_time</f>
        <v>45563.918749999997</v>
      </c>
      <c r="D39" s="97">
        <f>Control_6 Close_time</f>
        <v>45564.688194444447</v>
      </c>
      <c r="E39" s="109"/>
      <c r="F39" s="99" t="str">
        <f>IF(ISBLANK(Control_6 Establishment_1),"",Control_6 Establishment_1)</f>
        <v>St. Joseph's Mission</v>
      </c>
      <c r="G39" s="122" t="str">
        <f>IF(ISBLANK('Control Entry'!I20),"",'Control Entry'!I20)</f>
        <v>Signature from anyone nearby, or photo</v>
      </c>
      <c r="H39" s="122"/>
      <c r="I39" s="122"/>
      <c r="J39" s="100"/>
    </row>
    <row r="40" spans="2:10" ht="39.75" customHeight="1" x14ac:dyDescent="0.4">
      <c r="B40" s="101">
        <f>IF(ISBLANK(Distance Control_6),"",Control_6 Distance)</f>
        <v>517.70000000000005</v>
      </c>
      <c r="C40" s="102">
        <f>Control_6 Open_time</f>
        <v>45563.918749999997</v>
      </c>
      <c r="D40" s="102">
        <f>Control_6 Close_time</f>
        <v>45564.688194444447</v>
      </c>
      <c r="E40" s="99" t="str">
        <f>IF(ISBLANK(Locale Control_6),"",Locale Control_6)</f>
        <v>Williams Lake</v>
      </c>
      <c r="F40" s="99" t="str">
        <f>IF(ISBLANK(Control_6 Establishment_2),"",Control_6 Establishment_2)</f>
        <v>Mission Rd</v>
      </c>
      <c r="G40" s="123" t="str">
        <f>IF(ISBLANK('Control Entry'!J20),"",'Control Entry'!J20)</f>
        <v/>
      </c>
      <c r="H40" s="123"/>
      <c r="I40" s="123"/>
      <c r="J40" s="103"/>
    </row>
    <row r="41" spans="2:10" ht="39.75" customHeight="1" x14ac:dyDescent="0.45">
      <c r="B41" s="104"/>
      <c r="C41" s="105">
        <f>Control_6 Open_time</f>
        <v>45563.918749999997</v>
      </c>
      <c r="D41" s="105">
        <f>Control_6 Close_time</f>
        <v>45564.688194444447</v>
      </c>
      <c r="E41" s="106"/>
      <c r="F41" s="107" t="str">
        <f>IF(ISBLANK(Control_6 Establishment_3),"",Control_6 Establishment_3)</f>
        <v/>
      </c>
      <c r="G41" s="124" t="str">
        <f>IF(ISBLANK('Control Entry'!K20),"",'Control Entry'!K20)</f>
        <v/>
      </c>
      <c r="H41" s="124"/>
      <c r="I41" s="124"/>
      <c r="J41" s="108"/>
    </row>
    <row r="42" spans="2:10" ht="39.75" customHeight="1" x14ac:dyDescent="0.45">
      <c r="B42" s="96"/>
      <c r="C42" s="97">
        <f>Control_7 Open_time</f>
        <v>45564.171527777777</v>
      </c>
      <c r="D42" s="97">
        <f>Control_7 Close_time</f>
        <v>45565.255555555559</v>
      </c>
      <c r="E42" s="109"/>
      <c r="F42" s="99" t="str">
        <f>IF(ISBLANK(Control_7 Establishment_1),"",Control_7 Establishment_1)</f>
        <v>Hat Creek Ranch</v>
      </c>
      <c r="G42" s="122" t="str">
        <f>IF(ISBLANK('Control Entry'!I21),"",'Control Entry'!I21)</f>
        <v/>
      </c>
      <c r="H42" s="122"/>
      <c r="I42" s="122"/>
      <c r="J42" s="100"/>
    </row>
    <row r="43" spans="2:10" ht="39.75" customHeight="1" x14ac:dyDescent="0.4">
      <c r="B43" s="101">
        <f>IF(ISBLANK(Distance Control_7),"",Control_7 Distance)</f>
        <v>693</v>
      </c>
      <c r="C43" s="102">
        <f>Control_7 Open_time</f>
        <v>45564.171527777777</v>
      </c>
      <c r="D43" s="102">
        <f>Control_7 Close_time</f>
        <v>45565.255555555559</v>
      </c>
      <c r="E43" s="99" t="str">
        <f>IF(ISBLANK(Locale Control_7),"",Locale Control_7)</f>
        <v>Cache Creek</v>
      </c>
      <c r="F43" s="99" t="str">
        <f>IF(ISBLANK(Control_7 Establishment_2),"",Control_7 Establishment_2)</f>
        <v>Jackson Rd</v>
      </c>
      <c r="G43" s="123" t="str">
        <f>IF(ISBLANK('Control Entry'!J21),"",'Control Entry'!J21)</f>
        <v/>
      </c>
      <c r="H43" s="123"/>
      <c r="I43" s="123"/>
      <c r="J43" s="103"/>
    </row>
    <row r="44" spans="2:10" ht="39.75" customHeight="1" x14ac:dyDescent="0.45">
      <c r="B44" s="104"/>
      <c r="C44" s="105">
        <f>Control_7 Open_time</f>
        <v>45564.171527777777</v>
      </c>
      <c r="D44" s="105">
        <f>Control_7 Close_time</f>
        <v>45565.255555555559</v>
      </c>
      <c r="E44" s="106"/>
      <c r="F44" s="107" t="str">
        <f>IF(ISBLANK(Control_7 Establishment_3),"",Control_7 Establishment_3)</f>
        <v/>
      </c>
      <c r="G44" s="124" t="str">
        <f>IF(ISBLANK('Control Entry'!K21),"",'Control Entry'!K21)</f>
        <v/>
      </c>
      <c r="H44" s="124"/>
      <c r="I44" s="124"/>
      <c r="J44" s="108"/>
    </row>
    <row r="45" spans="2:10" ht="39.75" customHeight="1" x14ac:dyDescent="0.45">
      <c r="B45" s="96"/>
      <c r="C45" s="97">
        <f>Control_8 Open_time</f>
        <v>45564.283333333333</v>
      </c>
      <c r="D45" s="97">
        <f>Control_8 Close_time</f>
        <v>45565.529861111114</v>
      </c>
      <c r="E45" s="109"/>
      <c r="F45" s="99" t="str">
        <f>IF(ISBLANK(Control_8 Establishment_1),"",Control_8 Establishment_1)</f>
        <v/>
      </c>
      <c r="G45" s="122" t="str">
        <f>IF(ISBLANK('Control Entry'!I22),"",'Control Entry'!I22)</f>
        <v/>
      </c>
      <c r="H45" s="122"/>
      <c r="I45" s="122"/>
      <c r="J45" s="100"/>
    </row>
    <row r="46" spans="2:10" ht="39.75" customHeight="1" x14ac:dyDescent="0.4">
      <c r="B46" s="101">
        <f>IF(ISBLANK(Distance Control_8),"",Control_8 Distance)</f>
        <v>768.1</v>
      </c>
      <c r="C46" s="102">
        <f>Control_8 Open_time</f>
        <v>45564.283333333333</v>
      </c>
      <c r="D46" s="102">
        <f>Control_8 Close_time</f>
        <v>45565.529861111114</v>
      </c>
      <c r="E46" s="99" t="str">
        <f>IF(ISBLANK(Locale Control_8),"",Locale Control_8)</f>
        <v>Lillooet</v>
      </c>
      <c r="F46" s="99" t="str">
        <f>IF(ISBLANK(Control_8 Establishment_2),"",Control_8 Establishment_2)</f>
        <v>Any establishment</v>
      </c>
      <c r="G46" s="123" t="str">
        <f>IF(ISBLANK('Control Entry'!J22),"",'Control Entry'!J22)</f>
        <v/>
      </c>
      <c r="H46" s="123"/>
      <c r="I46" s="123"/>
      <c r="J46" s="103"/>
    </row>
    <row r="47" spans="2:10" ht="39.75" customHeight="1" x14ac:dyDescent="0.45">
      <c r="B47" s="104"/>
      <c r="C47" s="105">
        <f>Control_8 Open_time</f>
        <v>45564.283333333333</v>
      </c>
      <c r="D47" s="105">
        <f>Control_8 Close_time</f>
        <v>45565.529861111114</v>
      </c>
      <c r="E47" s="106"/>
      <c r="F47" s="107" t="str">
        <f>IF(ISBLANK(Control_8 Establishment_3),"",Control_8 Establishment_3)</f>
        <v/>
      </c>
      <c r="G47" s="124" t="str">
        <f>IF(ISBLANK('Control Entry'!K22),"",'Control Entry'!K22)</f>
        <v/>
      </c>
      <c r="H47" s="124"/>
      <c r="I47" s="124"/>
      <c r="J47" s="108"/>
    </row>
    <row r="48" spans="2:10" ht="39.75" customHeight="1" x14ac:dyDescent="0.45">
      <c r="B48" s="96"/>
      <c r="C48" s="97">
        <f>Control_9 Open_time</f>
        <v>45564.477777777778</v>
      </c>
      <c r="D48" s="97">
        <f>Control_9 Close_time</f>
        <v>45566.006249999999</v>
      </c>
      <c r="E48" s="109"/>
      <c r="F48" s="99" t="str">
        <f>IF(ISBLANK(Control_9 Establishment_1),"",Control_9 Establishment_1)</f>
        <v>Nesters Market</v>
      </c>
      <c r="G48" s="122" t="str">
        <f>IF(ISBLANK('Control Entry'!I23),"",'Control Entry'!I23)</f>
        <v/>
      </c>
      <c r="H48" s="122"/>
      <c r="I48" s="122"/>
      <c r="J48" s="100"/>
    </row>
    <row r="49" spans="2:11" ht="39.75" customHeight="1" x14ac:dyDescent="0.4">
      <c r="B49" s="101">
        <f>IF(ISBLANK(Distance Control_9),"",Control_9 Distance)</f>
        <v>898.8</v>
      </c>
      <c r="C49" s="102">
        <f>Control_9 Open_time</f>
        <v>45564.477777777778</v>
      </c>
      <c r="D49" s="102">
        <f>Control_9 Close_time</f>
        <v>45566.006249999999</v>
      </c>
      <c r="E49" s="99" t="str">
        <f>IF(ISBLANK(Locale Control_9),"",Locale Control_9)</f>
        <v>Whistler</v>
      </c>
      <c r="F49" s="99" t="str">
        <f>IF(ISBLANK(Control_9 Establishment_2),"",Control_9 Establishment_2)</f>
        <v>7019 Nesters Rd</v>
      </c>
      <c r="G49" s="123" t="str">
        <f>IF(ISBLANK('Control Entry'!J23),"",'Control Entry'!J23)</f>
        <v/>
      </c>
      <c r="H49" s="123"/>
      <c r="I49" s="123"/>
      <c r="J49" s="103"/>
    </row>
    <row r="50" spans="2:11" ht="39.75" customHeight="1" x14ac:dyDescent="0.45">
      <c r="B50" s="104"/>
      <c r="C50" s="105">
        <f>Control_9 Open_time</f>
        <v>45564.477777777778</v>
      </c>
      <c r="D50" s="105">
        <f>Control_9 Close_time</f>
        <v>45566.006249999999</v>
      </c>
      <c r="E50" s="106"/>
      <c r="F50" s="107" t="str">
        <f>IF(ISBLANK(Control_9 Establishment_3),"",Control_9 Establishment_3)</f>
        <v/>
      </c>
      <c r="G50" s="124" t="str">
        <f>IF(ISBLANK('Control Entry'!K23),"",'Control Entry'!K23)</f>
        <v/>
      </c>
      <c r="H50" s="124"/>
      <c r="I50" s="124"/>
      <c r="J50" s="108"/>
    </row>
    <row r="51" spans="2:11" ht="39.75" customHeight="1" x14ac:dyDescent="0.45">
      <c r="B51" s="96"/>
      <c r="C51" s="97">
        <f>Control_10 Open_time</f>
        <v>45564.632638888892</v>
      </c>
      <c r="D51" s="97">
        <f>Control_10 Close_time</f>
        <v>45566.375</v>
      </c>
      <c r="E51" s="109"/>
      <c r="F51" s="99" t="str">
        <f>IF(ISBLANK(Control_10 Establishment_1),"",Control_10 Establishment_1)</f>
        <v>Horseshoe Bay ferry terminal</v>
      </c>
      <c r="G51" s="122" t="str">
        <f>IF(ISBLANK('Control Entry'!I24),"",'Control Entry'!I24)</f>
        <v/>
      </c>
      <c r="H51" s="122"/>
      <c r="I51" s="122"/>
      <c r="J51" s="100"/>
    </row>
    <row r="52" spans="2:11" ht="39.75" customHeight="1" x14ac:dyDescent="0.4">
      <c r="B52" s="101">
        <f>IF(ISBLANK(Distance Control_10),"",Control_10 Distance)</f>
        <v>1002.5</v>
      </c>
      <c r="C52" s="102">
        <f>Control_10 Open_time</f>
        <v>45564.632638888892</v>
      </c>
      <c r="D52" s="102">
        <f>Control_10 Close_time</f>
        <v>45566.375</v>
      </c>
      <c r="E52" s="99" t="str">
        <f>IF(ISBLANK(Locale Control_10),"",Locale Control_10)</f>
        <v>West Vancouver</v>
      </c>
      <c r="F52" s="99" t="str">
        <f>IF(ISBLANK(Control_10 Establishment_2),"",Control_10 Establishment_2)</f>
        <v>6750 Keith Rd</v>
      </c>
      <c r="G52" s="123" t="str">
        <f>IF(ISBLANK('Control Entry'!J24),"",'Control Entry'!J24)</f>
        <v/>
      </c>
      <c r="H52" s="123"/>
      <c r="I52" s="123"/>
      <c r="J52" s="103"/>
    </row>
    <row r="53" spans="2:11" ht="39.75" customHeight="1" x14ac:dyDescent="0.45">
      <c r="B53" s="104"/>
      <c r="C53" s="105">
        <f>Control_10 Open_time</f>
        <v>45564.632638888892</v>
      </c>
      <c r="D53" s="105">
        <f>Control_10 Close_time</f>
        <v>45566.375</v>
      </c>
      <c r="E53" s="106"/>
      <c r="F53" s="107" t="str">
        <f>IF(ISBLANK(Control_10 Establishment_3),"",Control_10 Establishment_3)</f>
        <v/>
      </c>
      <c r="G53" s="124" t="str">
        <f>IF(ISBLANK('Control Entry'!K24),"",'Control Entry'!K24)</f>
        <v/>
      </c>
      <c r="H53" s="124"/>
      <c r="I53" s="124"/>
      <c r="J53" s="108"/>
    </row>
    <row r="55" spans="2:11" ht="24" customHeight="1" x14ac:dyDescent="0.25">
      <c r="B55" s="125" t="s">
        <v>96</v>
      </c>
      <c r="C55" s="125"/>
      <c r="D55" s="125"/>
      <c r="E55" s="125"/>
      <c r="F55" s="125"/>
      <c r="I55" s="78" t="s">
        <v>97</v>
      </c>
      <c r="J55" s="110" t="str">
        <f>IF(ISBLANK('Control Entry'!F10),"",'Control Entry'!F10)</f>
        <v>604 721 0309</v>
      </c>
      <c r="K55" s="79"/>
    </row>
    <row r="57" spans="2:11" x14ac:dyDescent="0.25">
      <c r="B57" s="111" t="s">
        <v>98</v>
      </c>
      <c r="C57" s="112">
        <f>'Control Entry'!B3</f>
        <v>45393</v>
      </c>
    </row>
    <row r="58" spans="2:11" ht="22.8" x14ac:dyDescent="0.25">
      <c r="B58" s="78"/>
      <c r="C58" s="78"/>
      <c r="D58" s="78"/>
      <c r="E58" s="78"/>
      <c r="F58" s="79"/>
      <c r="G58" s="80"/>
      <c r="H58" s="80"/>
      <c r="I58" s="80"/>
      <c r="J58" s="79"/>
    </row>
    <row r="59" spans="2:11" x14ac:dyDescent="0.25">
      <c r="E59" s="15"/>
    </row>
    <row r="60" spans="2:11" x14ac:dyDescent="0.25">
      <c r="B60" s="113"/>
      <c r="C60" s="114"/>
      <c r="D60" s="114"/>
      <c r="E60" s="114"/>
      <c r="F60" s="126"/>
      <c r="G60" s="126"/>
      <c r="H60" s="126"/>
      <c r="I60" s="126"/>
      <c r="J60" s="126"/>
    </row>
  </sheetData>
  <mergeCells count="53">
    <mergeCell ref="G52:I52"/>
    <mergeCell ref="G53:I53"/>
    <mergeCell ref="B55:F55"/>
    <mergeCell ref="F60:J60"/>
    <mergeCell ref="G36:I36"/>
    <mergeCell ref="G37:I37"/>
    <mergeCell ref="G38:I38"/>
    <mergeCell ref="G47:I47"/>
    <mergeCell ref="G48:I48"/>
    <mergeCell ref="G49:I49"/>
    <mergeCell ref="G50:I50"/>
    <mergeCell ref="G51:I51"/>
    <mergeCell ref="G42:I42"/>
    <mergeCell ref="G43:I43"/>
    <mergeCell ref="G44:I44"/>
    <mergeCell ref="G45:I45"/>
    <mergeCell ref="G46:I46"/>
    <mergeCell ref="G34:I34"/>
    <mergeCell ref="G35:I35"/>
    <mergeCell ref="G39:I39"/>
    <mergeCell ref="G40:I40"/>
    <mergeCell ref="G41:I41"/>
    <mergeCell ref="G29:I29"/>
    <mergeCell ref="G30:I30"/>
    <mergeCell ref="G31:I31"/>
    <mergeCell ref="G32:I32"/>
    <mergeCell ref="G33:I33"/>
    <mergeCell ref="G24:I24"/>
    <mergeCell ref="G25:I25"/>
    <mergeCell ref="G26:I26"/>
    <mergeCell ref="G27:I27"/>
    <mergeCell ref="G28:I28"/>
    <mergeCell ref="B19:J19"/>
    <mergeCell ref="G20:I20"/>
    <mergeCell ref="G21:I21"/>
    <mergeCell ref="G22:I22"/>
    <mergeCell ref="G23:I23"/>
    <mergeCell ref="D14:E14"/>
    <mergeCell ref="C17:F17"/>
    <mergeCell ref="I17:J17"/>
    <mergeCell ref="L17:M17"/>
    <mergeCell ref="N17:O17"/>
    <mergeCell ref="B10:C10"/>
    <mergeCell ref="E10:G10"/>
    <mergeCell ref="L10:M10"/>
    <mergeCell ref="N10:O10"/>
    <mergeCell ref="D12:E12"/>
    <mergeCell ref="C2:F2"/>
    <mergeCell ref="E3:H3"/>
    <mergeCell ref="E4:H4"/>
    <mergeCell ref="E5:H6"/>
    <mergeCell ref="C7:F8"/>
    <mergeCell ref="H7:H8"/>
  </mergeCells>
  <printOptions horizontalCentered="1" verticalCentered="1"/>
  <pageMargins left="0.39374999999999999" right="0.39374999999999999" top="0.39374999999999999" bottom="0.39374999999999999" header="0.511811023622047" footer="0.511811023622047"/>
  <pageSetup scale="42"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57"/>
  <sheetViews>
    <sheetView zoomScale="36" zoomScaleNormal="36" workbookViewId="0">
      <selection activeCell="B22" sqref="B22"/>
    </sheetView>
  </sheetViews>
  <sheetFormatPr defaultColWidth="8.77734375" defaultRowHeight="13.2" x14ac:dyDescent="0.25"/>
  <cols>
    <col min="1" max="1" width="1.77734375" customWidth="1"/>
    <col min="2" max="2" width="12.77734375" customWidth="1"/>
    <col min="3" max="4" width="15.77734375" customWidth="1"/>
    <col min="5" max="5" width="25.77734375" customWidth="1"/>
    <col min="6" max="6" width="40.77734375" customWidth="1"/>
    <col min="7" max="7" width="12.77734375" customWidth="1"/>
    <col min="8" max="8" width="25.77734375" customWidth="1"/>
    <col min="9" max="9" width="30.77734375" customWidth="1"/>
    <col min="10" max="10" width="25.77734375" customWidth="1"/>
    <col min="11" max="11" width="1.77734375" customWidth="1"/>
  </cols>
  <sheetData>
    <row r="1" spans="2:15" x14ac:dyDescent="0.25">
      <c r="K1" s="64"/>
      <c r="L1" s="64"/>
      <c r="M1" s="64"/>
    </row>
    <row r="2" spans="2:15" ht="17.399999999999999" x14ac:dyDescent="0.3">
      <c r="C2" s="8" t="s">
        <v>76</v>
      </c>
      <c r="D2" s="8"/>
      <c r="E2" s="8"/>
      <c r="F2" s="8"/>
      <c r="G2" s="65"/>
      <c r="H2" s="65"/>
      <c r="I2" s="66" t="s">
        <v>77</v>
      </c>
      <c r="J2" s="67">
        <f>'Control Entry'!B4</f>
        <v>0</v>
      </c>
      <c r="K2" s="65"/>
      <c r="L2" s="65"/>
    </row>
    <row r="3" spans="2:15" ht="45" customHeight="1" x14ac:dyDescent="0.7">
      <c r="D3" s="68"/>
      <c r="E3" s="7" t="s">
        <v>78</v>
      </c>
      <c r="F3" s="7"/>
      <c r="G3" s="7"/>
      <c r="H3" s="7"/>
      <c r="I3" s="69" t="s">
        <v>79</v>
      </c>
      <c r="J3" s="115">
        <f>IF(ISBLANK(Brevet_Number),"",Brevet_Number)</f>
        <v>5365</v>
      </c>
      <c r="K3" s="71"/>
      <c r="L3" s="71"/>
    </row>
    <row r="4" spans="2:15" ht="19.5" customHeight="1" x14ac:dyDescent="0.25">
      <c r="C4" s="68"/>
      <c r="E4" s="6" t="str">
        <f>IF(ISBLANK(Brevet_Length),"",Brevet_Length&amp;" km Randonnée")</f>
        <v>1000 km Randonnée</v>
      </c>
      <c r="F4" s="6"/>
      <c r="G4" s="6"/>
      <c r="H4" s="6"/>
      <c r="K4" s="72"/>
      <c r="L4" s="72"/>
    </row>
    <row r="5" spans="2:15" ht="19.5" customHeight="1" x14ac:dyDescent="0.4">
      <c r="D5" s="73"/>
      <c r="E5" s="5" t="str">
        <f>IF(ISBLANK(Brevet_Description),"",Brevet_Description)</f>
        <v>LM September 1000 Williams Lake NDTR</v>
      </c>
      <c r="F5" s="5"/>
      <c r="G5" s="5"/>
      <c r="H5" s="5"/>
      <c r="I5" s="74"/>
      <c r="J5" s="73"/>
      <c r="K5" s="73"/>
      <c r="L5" s="73"/>
    </row>
    <row r="6" spans="2:15" ht="21" x14ac:dyDescent="0.4">
      <c r="D6" s="75"/>
      <c r="E6" s="5"/>
      <c r="F6" s="5"/>
      <c r="G6" s="5"/>
      <c r="H6" s="5"/>
      <c r="I6" s="74"/>
      <c r="J6" s="75"/>
      <c r="K6" s="73"/>
      <c r="L6" s="73"/>
    </row>
    <row r="7" spans="2:15" ht="24.75" customHeight="1" x14ac:dyDescent="0.25">
      <c r="C7" s="4"/>
      <c r="D7" s="4"/>
      <c r="E7" s="4"/>
      <c r="F7" s="4"/>
      <c r="H7" s="3"/>
    </row>
    <row r="8" spans="2:15" ht="20.399999999999999" x14ac:dyDescent="0.35">
      <c r="B8" s="76" t="s">
        <v>80</v>
      </c>
      <c r="C8" s="4"/>
      <c r="D8" s="4"/>
      <c r="E8" s="4"/>
      <c r="F8" s="4"/>
      <c r="G8" s="76" t="s">
        <v>81</v>
      </c>
      <c r="H8" s="3"/>
      <c r="I8" s="77"/>
      <c r="J8" s="77"/>
      <c r="K8" s="77"/>
    </row>
    <row r="9" spans="2:15" ht="21.75" customHeight="1" x14ac:dyDescent="0.25">
      <c r="B9" s="78"/>
      <c r="C9" s="78"/>
      <c r="D9" s="78"/>
      <c r="E9" s="78"/>
      <c r="F9" s="79"/>
      <c r="G9" s="80"/>
      <c r="H9" s="80"/>
      <c r="I9" s="80"/>
      <c r="J9" s="79"/>
    </row>
    <row r="10" spans="2:15" ht="19.5" customHeight="1" x14ac:dyDescent="0.25">
      <c r="B10" s="2" t="s">
        <v>82</v>
      </c>
      <c r="C10" s="2"/>
      <c r="D10" s="81" t="s">
        <v>83</v>
      </c>
      <c r="E10" s="1" t="s">
        <v>84</v>
      </c>
      <c r="F10" s="1"/>
      <c r="G10" s="1"/>
      <c r="H10" s="81"/>
      <c r="I10" s="82"/>
      <c r="J10" s="82"/>
      <c r="K10" s="83"/>
      <c r="L10" s="116"/>
      <c r="M10" s="116"/>
      <c r="N10" s="116"/>
      <c r="O10" s="116"/>
    </row>
    <row r="11" spans="2:15" ht="22.8" x14ac:dyDescent="0.25">
      <c r="B11" s="78"/>
      <c r="C11" s="78" t="s">
        <v>85</v>
      </c>
      <c r="D11" s="78"/>
      <c r="E11" s="78"/>
      <c r="F11" s="79"/>
      <c r="G11" s="80"/>
      <c r="H11" s="80"/>
      <c r="I11" s="80"/>
      <c r="J11" s="79"/>
    </row>
    <row r="12" spans="2:15" ht="20.399999999999999" x14ac:dyDescent="0.35">
      <c r="D12" s="117" t="s">
        <v>19</v>
      </c>
      <c r="E12" s="117"/>
      <c r="F12" s="84">
        <f>IF(ISBLANK('Control Entry'!B12),"",'Control Entry'!B12)</f>
        <v>45563</v>
      </c>
      <c r="G12" s="85"/>
      <c r="H12" s="76" t="s">
        <v>86</v>
      </c>
      <c r="I12" s="86">
        <f>IF(ISBLANK('Control Entry'!B13),"",'Control Entry'!B13)</f>
        <v>0.25</v>
      </c>
      <c r="J12" s="87"/>
    </row>
    <row r="13" spans="2:15" ht="20.399999999999999" x14ac:dyDescent="0.35">
      <c r="D13" s="88"/>
      <c r="E13" s="88"/>
      <c r="F13" s="89"/>
      <c r="G13" s="89"/>
      <c r="H13" s="89"/>
      <c r="L13" s="87"/>
      <c r="M13" s="87"/>
      <c r="N13" s="87"/>
    </row>
    <row r="14" spans="2:15" ht="20.399999999999999" x14ac:dyDescent="0.35">
      <c r="D14" s="117" t="s">
        <v>87</v>
      </c>
      <c r="E14" s="117"/>
      <c r="F14" s="84"/>
      <c r="G14" s="85"/>
      <c r="H14" s="76" t="s">
        <v>88</v>
      </c>
      <c r="I14" s="86"/>
      <c r="J14" s="87"/>
      <c r="L14" s="41"/>
      <c r="M14" s="41"/>
      <c r="N14" s="41"/>
    </row>
    <row r="15" spans="2:15" ht="20.399999999999999" x14ac:dyDescent="0.35">
      <c r="B15" s="88"/>
      <c r="C15" s="88"/>
      <c r="D15" s="89"/>
      <c r="E15" s="89"/>
      <c r="H15" s="89"/>
    </row>
    <row r="16" spans="2:15" ht="20.399999999999999" x14ac:dyDescent="0.35">
      <c r="C16" s="90"/>
      <c r="D16" s="90"/>
      <c r="E16" s="90"/>
      <c r="F16" s="90"/>
      <c r="H16" s="76" t="s">
        <v>89</v>
      </c>
      <c r="I16" s="86"/>
      <c r="J16" s="87"/>
      <c r="L16" s="41"/>
      <c r="M16" s="41"/>
      <c r="N16" s="41"/>
    </row>
    <row r="17" spans="2:15" ht="20.399999999999999" x14ac:dyDescent="0.25">
      <c r="C17" s="118" t="s">
        <v>90</v>
      </c>
      <c r="D17" s="118"/>
      <c r="E17" s="118"/>
      <c r="F17" s="118"/>
      <c r="G17" s="83"/>
      <c r="H17" s="83"/>
      <c r="I17" s="119"/>
      <c r="J17" s="119"/>
      <c r="K17" s="83"/>
      <c r="L17" s="116"/>
      <c r="M17" s="116"/>
      <c r="N17" s="116"/>
      <c r="O17" s="116"/>
    </row>
    <row r="18" spans="2:15" ht="6" customHeight="1" x14ac:dyDescent="0.25">
      <c r="B18" s="91"/>
      <c r="C18" s="91"/>
      <c r="D18" s="91"/>
      <c r="E18" s="91"/>
      <c r="F18" s="92"/>
      <c r="G18" s="93"/>
      <c r="H18" s="93"/>
      <c r="I18" s="93"/>
      <c r="J18" s="92"/>
    </row>
    <row r="19" spans="2:15" ht="20.399999999999999" x14ac:dyDescent="0.25">
      <c r="B19" s="120" t="s">
        <v>91</v>
      </c>
      <c r="C19" s="120"/>
      <c r="D19" s="120"/>
      <c r="E19" s="120"/>
      <c r="F19" s="120"/>
      <c r="G19" s="120"/>
      <c r="H19" s="120"/>
      <c r="I19" s="120"/>
      <c r="J19" s="120"/>
    </row>
    <row r="20" spans="2:15" ht="34.799999999999997" x14ac:dyDescent="0.3">
      <c r="B20" s="94" t="s">
        <v>92</v>
      </c>
      <c r="C20" s="95" t="s">
        <v>33</v>
      </c>
      <c r="D20" s="95" t="s">
        <v>34</v>
      </c>
      <c r="E20" s="95" t="s">
        <v>26</v>
      </c>
      <c r="F20" s="95" t="s">
        <v>93</v>
      </c>
      <c r="G20" s="121" t="s">
        <v>94</v>
      </c>
      <c r="H20" s="121"/>
      <c r="I20" s="121"/>
      <c r="J20" s="94" t="s">
        <v>95</v>
      </c>
    </row>
    <row r="21" spans="2:15" ht="39.75" customHeight="1" x14ac:dyDescent="0.45">
      <c r="B21" s="96"/>
      <c r="C21" s="97" t="str">
        <f>'Control Entry'!N$28</f>
        <v/>
      </c>
      <c r="D21" s="97" t="str">
        <f>'Control Entry'!O$28</f>
        <v/>
      </c>
      <c r="E21" s="98"/>
      <c r="F21" s="99" t="str">
        <f>IF(ISBLANK('Control Entry'!F$28),"",'Control Entry'!F$28)</f>
        <v/>
      </c>
      <c r="G21" s="122" t="str">
        <f>IF(ISBLANK('Control Entry'!I$28),"",'Control Entry'!I$28)</f>
        <v/>
      </c>
      <c r="H21" s="122"/>
      <c r="I21" s="122"/>
      <c r="J21" s="100"/>
    </row>
    <row r="22" spans="2:15" ht="39.75" customHeight="1" x14ac:dyDescent="0.4">
      <c r="B22" s="101" t="str">
        <f>IF(ISBLANK('Control Entry'!D$28),"",'Control Entry'!D$28)</f>
        <v/>
      </c>
      <c r="C22" s="102" t="str">
        <f>'Control Entry'!N$28</f>
        <v/>
      </c>
      <c r="D22" s="102" t="str">
        <f>'Control Entry'!O$28</f>
        <v/>
      </c>
      <c r="E22" s="99" t="str">
        <f>IF(ISBLANK('Control Entry'!E$28),"",'Control Entry'!E$28)</f>
        <v/>
      </c>
      <c r="F22" s="99" t="str">
        <f>IF(ISBLANK('Control Entry'!G$28),"",'Control Entry'!G$28)</f>
        <v/>
      </c>
      <c r="G22" s="123" t="str">
        <f>IF(ISBLANK('Control Entry'!J$28),"",'Control Entry'!J$28)</f>
        <v/>
      </c>
      <c r="H22" s="123"/>
      <c r="I22" s="123"/>
      <c r="J22" s="103"/>
    </row>
    <row r="23" spans="2:15" ht="39.75" customHeight="1" x14ac:dyDescent="0.45">
      <c r="B23" s="104"/>
      <c r="C23" s="105" t="str">
        <f>'Control Entry'!N$28</f>
        <v/>
      </c>
      <c r="D23" s="105" t="str">
        <f>'Control Entry'!O$28</f>
        <v/>
      </c>
      <c r="E23" s="106"/>
      <c r="F23" s="107" t="str">
        <f>IF(ISBLANK('Control Entry'!H$28),"",'Control Entry'!H$28)</f>
        <v/>
      </c>
      <c r="G23" s="124" t="str">
        <f>IF(ISBLANK('Control Entry'!K$28),"",'Control Entry'!K$28)</f>
        <v/>
      </c>
      <c r="H23" s="124"/>
      <c r="I23" s="124"/>
      <c r="J23" s="108"/>
    </row>
    <row r="24" spans="2:15" ht="39.75" customHeight="1" x14ac:dyDescent="0.45">
      <c r="B24" s="96"/>
      <c r="C24" s="97" t="str">
        <f>'Control Entry'!N$29</f>
        <v/>
      </c>
      <c r="D24" s="97" t="str">
        <f>'Control Entry'!O$29</f>
        <v/>
      </c>
      <c r="E24" s="98"/>
      <c r="F24" s="99" t="str">
        <f>IF(ISBLANK('Control Entry'!F$29),"",'Control Entry'!F$29)</f>
        <v/>
      </c>
      <c r="G24" s="122" t="str">
        <f>IF(ISBLANK('Control Entry'!I$29),"",'Control Entry'!I$29)</f>
        <v/>
      </c>
      <c r="H24" s="122"/>
      <c r="I24" s="122"/>
      <c r="J24" s="100"/>
    </row>
    <row r="25" spans="2:15" ht="39.75" customHeight="1" x14ac:dyDescent="0.4">
      <c r="B25" s="101" t="str">
        <f>IF(ISBLANK('Control Entry'!D$29),"",'Control Entry'!D$29)</f>
        <v/>
      </c>
      <c r="C25" s="102" t="str">
        <f>'Control Entry'!N$29</f>
        <v/>
      </c>
      <c r="D25" s="102" t="str">
        <f>'Control Entry'!O$29</f>
        <v/>
      </c>
      <c r="E25" s="99" t="str">
        <f>IF(ISBLANK('Control Entry'!E$29),"",'Control Entry'!E$29)</f>
        <v/>
      </c>
      <c r="F25" s="99" t="str">
        <f>IF(ISBLANK('Control Entry'!G$29),"",'Control Entry'!G$29)</f>
        <v/>
      </c>
      <c r="G25" s="123" t="str">
        <f>IF(ISBLANK('Control Entry'!J$29),"",'Control Entry'!J$29)</f>
        <v/>
      </c>
      <c r="H25" s="123"/>
      <c r="I25" s="123"/>
      <c r="J25" s="103"/>
    </row>
    <row r="26" spans="2:15" ht="39.75" customHeight="1" x14ac:dyDescent="0.45">
      <c r="B26" s="104"/>
      <c r="C26" s="105" t="str">
        <f>'Control Entry'!N$29</f>
        <v/>
      </c>
      <c r="D26" s="105" t="str">
        <f>'Control Entry'!O$29</f>
        <v/>
      </c>
      <c r="E26" s="106"/>
      <c r="F26" s="107" t="str">
        <f>IF(ISBLANK('Control Entry'!H$29),"",'Control Entry'!H$29)</f>
        <v/>
      </c>
      <c r="G26" s="124" t="str">
        <f>IF(ISBLANK('Control Entry'!K$29),"",'Control Entry'!K$29)</f>
        <v/>
      </c>
      <c r="H26" s="124"/>
      <c r="I26" s="124"/>
      <c r="J26" s="108"/>
    </row>
    <row r="27" spans="2:15" ht="39.75" customHeight="1" x14ac:dyDescent="0.45">
      <c r="B27" s="96"/>
      <c r="C27" s="97" t="str">
        <f>'Control Entry'!N$30</f>
        <v/>
      </c>
      <c r="D27" s="97" t="str">
        <f>'Control Entry'!O$30</f>
        <v/>
      </c>
      <c r="E27" s="98"/>
      <c r="F27" s="99" t="str">
        <f>IF(ISBLANK('Control Entry'!F$30),"",'Control Entry'!F$30)</f>
        <v/>
      </c>
      <c r="G27" s="122" t="str">
        <f>IF(ISBLANK('Control Entry'!I$30),"",'Control Entry'!I$30)</f>
        <v/>
      </c>
      <c r="H27" s="122"/>
      <c r="I27" s="122"/>
      <c r="J27" s="100"/>
    </row>
    <row r="28" spans="2:15" ht="39.75" customHeight="1" x14ac:dyDescent="0.4">
      <c r="B28" s="101" t="str">
        <f>IF(ISBLANK('Control Entry'!D$30),"",'Control Entry'!D$30)</f>
        <v/>
      </c>
      <c r="C28" s="102" t="str">
        <f>'Control Entry'!N$30</f>
        <v/>
      </c>
      <c r="D28" s="102" t="str">
        <f>'Control Entry'!O$30</f>
        <v/>
      </c>
      <c r="E28" s="99" t="str">
        <f>IF(ISBLANK('Control Entry'!E$30),"",'Control Entry'!E$30)</f>
        <v/>
      </c>
      <c r="F28" s="99" t="str">
        <f>IF(ISBLANK('Control Entry'!G$30),"",'Control Entry'!G$30)</f>
        <v/>
      </c>
      <c r="G28" s="123" t="str">
        <f>IF(ISBLANK('Control Entry'!J$30),"",'Control Entry'!J$30)</f>
        <v/>
      </c>
      <c r="H28" s="123"/>
      <c r="I28" s="123"/>
      <c r="J28" s="103"/>
    </row>
    <row r="29" spans="2:15" ht="39.75" customHeight="1" x14ac:dyDescent="0.45">
      <c r="B29" s="104"/>
      <c r="C29" s="105" t="str">
        <f>'Control Entry'!N$30</f>
        <v/>
      </c>
      <c r="D29" s="105" t="str">
        <f>'Control Entry'!O$30</f>
        <v/>
      </c>
      <c r="E29" s="106"/>
      <c r="F29" s="107" t="str">
        <f>IF(ISBLANK('Control Entry'!H$30),"",'Control Entry'!H$30)</f>
        <v/>
      </c>
      <c r="G29" s="124" t="str">
        <f>IF(ISBLANK('Control Entry'!K$30),"",'Control Entry'!K$30)</f>
        <v/>
      </c>
      <c r="H29" s="124"/>
      <c r="I29" s="124"/>
      <c r="J29" s="108"/>
    </row>
    <row r="30" spans="2:15" ht="39.75" customHeight="1" x14ac:dyDescent="0.45">
      <c r="B30" s="96"/>
      <c r="C30" s="97" t="str">
        <f>'Control Entry'!N$31</f>
        <v/>
      </c>
      <c r="D30" s="97" t="str">
        <f>'Control Entry'!O$31</f>
        <v/>
      </c>
      <c r="E30" s="98"/>
      <c r="F30" s="99" t="str">
        <f>IF(ISBLANK('Control Entry'!F$31),"",'Control Entry'!F$31)</f>
        <v/>
      </c>
      <c r="G30" s="122" t="str">
        <f>IF(ISBLANK('Control Entry'!I$31),"",'Control Entry'!I$31)</f>
        <v/>
      </c>
      <c r="H30" s="122"/>
      <c r="I30" s="122"/>
      <c r="J30" s="100"/>
    </row>
    <row r="31" spans="2:15" ht="39.75" customHeight="1" x14ac:dyDescent="0.4">
      <c r="B31" s="101" t="str">
        <f>IF(ISBLANK('Control Entry'!D$31),"",'Control Entry'!D$31)</f>
        <v/>
      </c>
      <c r="C31" s="102" t="str">
        <f>'Control Entry'!N$31</f>
        <v/>
      </c>
      <c r="D31" s="102" t="str">
        <f>'Control Entry'!O$31</f>
        <v/>
      </c>
      <c r="E31" s="99" t="str">
        <f>IF(ISBLANK('Control Entry'!E$31),"",'Control Entry'!E$31)</f>
        <v/>
      </c>
      <c r="F31" s="99" t="str">
        <f>IF(ISBLANK('Control Entry'!G$31),"",'Control Entry'!G$31)</f>
        <v/>
      </c>
      <c r="G31" s="123" t="str">
        <f>IF(ISBLANK('Control Entry'!J$31),"",'Control Entry'!J$31)</f>
        <v/>
      </c>
      <c r="H31" s="123"/>
      <c r="I31" s="123"/>
      <c r="J31" s="103"/>
    </row>
    <row r="32" spans="2:15" ht="39.75" customHeight="1" x14ac:dyDescent="0.45">
      <c r="B32" s="104"/>
      <c r="C32" s="105" t="str">
        <f>'Control Entry'!N$31</f>
        <v/>
      </c>
      <c r="D32" s="105" t="str">
        <f>'Control Entry'!O$31</f>
        <v/>
      </c>
      <c r="E32" s="106"/>
      <c r="F32" s="107" t="str">
        <f>IF(ISBLANK('Control Entry'!H$31),"",'Control Entry'!H$31)</f>
        <v/>
      </c>
      <c r="G32" s="124" t="str">
        <f>IF(ISBLANK('Control Entry'!K$31),"",'Control Entry'!K$31)</f>
        <v/>
      </c>
      <c r="H32" s="124"/>
      <c r="I32" s="124"/>
      <c r="J32" s="108"/>
    </row>
    <row r="33" spans="2:10" ht="39.75" customHeight="1" x14ac:dyDescent="0.45">
      <c r="B33" s="96"/>
      <c r="C33" s="97" t="str">
        <f>'Control Entry'!N$32</f>
        <v/>
      </c>
      <c r="D33" s="97" t="str">
        <f>'Control Entry'!O$32</f>
        <v/>
      </c>
      <c r="E33" s="98"/>
      <c r="F33" s="99" t="str">
        <f>IF(ISBLANK('Control Entry'!F$32),"",'Control Entry'!F$32)</f>
        <v/>
      </c>
      <c r="G33" s="122" t="str">
        <f>IF(ISBLANK('Control Entry'!I$32),"",'Control Entry'!I$32)</f>
        <v/>
      </c>
      <c r="H33" s="122"/>
      <c r="I33" s="122"/>
      <c r="J33" s="100"/>
    </row>
    <row r="34" spans="2:10" ht="39.75" customHeight="1" x14ac:dyDescent="0.4">
      <c r="B34" s="101" t="str">
        <f>IF(ISBLANK('Control Entry'!D$32),"",'Control Entry'!D$32)</f>
        <v/>
      </c>
      <c r="C34" s="102" t="str">
        <f>'Control Entry'!N$32</f>
        <v/>
      </c>
      <c r="D34" s="102" t="str">
        <f>'Control Entry'!O$32</f>
        <v/>
      </c>
      <c r="E34" s="99" t="str">
        <f>IF(ISBLANK('Control Entry'!E$32),"",'Control Entry'!E$32)</f>
        <v/>
      </c>
      <c r="F34" s="99" t="str">
        <f>IF(ISBLANK('Control Entry'!G$32),"",'Control Entry'!G$32)</f>
        <v/>
      </c>
      <c r="G34" s="123" t="str">
        <f>IF(ISBLANK('Control Entry'!J$32),"",'Control Entry'!J$32)</f>
        <v/>
      </c>
      <c r="H34" s="123"/>
      <c r="I34" s="123"/>
      <c r="J34" s="103"/>
    </row>
    <row r="35" spans="2:10" ht="39.75" customHeight="1" x14ac:dyDescent="0.45">
      <c r="B35" s="104"/>
      <c r="C35" s="105" t="str">
        <f>'Control Entry'!N$32</f>
        <v/>
      </c>
      <c r="D35" s="105" t="str">
        <f>'Control Entry'!O$32</f>
        <v/>
      </c>
      <c r="E35" s="106"/>
      <c r="F35" s="107" t="str">
        <f>IF(ISBLANK('Control Entry'!H$32),"",'Control Entry'!H$32)</f>
        <v/>
      </c>
      <c r="G35" s="124" t="str">
        <f>IF(ISBLANK('Control Entry'!K$32),"",'Control Entry'!K$32)</f>
        <v/>
      </c>
      <c r="H35" s="124"/>
      <c r="I35" s="124"/>
      <c r="J35" s="108"/>
    </row>
    <row r="36" spans="2:10" ht="39.75" customHeight="1" x14ac:dyDescent="0.45">
      <c r="B36" s="96"/>
      <c r="C36" s="97" t="str">
        <f>'Control Entry'!N$33</f>
        <v/>
      </c>
      <c r="D36" s="97" t="str">
        <f>'Control Entry'!O$33</f>
        <v/>
      </c>
      <c r="E36" s="98"/>
      <c r="F36" s="99" t="str">
        <f>IF(ISBLANK('Control Entry'!F$33),"",'Control Entry'!F$33)</f>
        <v/>
      </c>
      <c r="G36" s="122" t="str">
        <f>IF(ISBLANK('Control Entry'!I$33),"",'Control Entry'!I$33)</f>
        <v/>
      </c>
      <c r="H36" s="122"/>
      <c r="I36" s="122"/>
      <c r="J36" s="100"/>
    </row>
    <row r="37" spans="2:10" ht="39.75" customHeight="1" x14ac:dyDescent="0.4">
      <c r="B37" s="101" t="str">
        <f>IF(ISBLANK('Control Entry'!D$33),"",'Control Entry'!D$33)</f>
        <v/>
      </c>
      <c r="C37" s="102" t="str">
        <f>'Control Entry'!N$33</f>
        <v/>
      </c>
      <c r="D37" s="102" t="str">
        <f>'Control Entry'!O$33</f>
        <v/>
      </c>
      <c r="E37" s="99" t="str">
        <f>IF(ISBLANK('Control Entry'!E$33),"",'Control Entry'!E$33)</f>
        <v/>
      </c>
      <c r="F37" s="99" t="str">
        <f>IF(ISBLANK('Control Entry'!G$33),"",'Control Entry'!G$33)</f>
        <v/>
      </c>
      <c r="G37" s="123" t="str">
        <f>IF(ISBLANK('Control Entry'!J$33),"",'Control Entry'!J$33)</f>
        <v/>
      </c>
      <c r="H37" s="123"/>
      <c r="I37" s="123"/>
      <c r="J37" s="103"/>
    </row>
    <row r="38" spans="2:10" ht="39.75" customHeight="1" x14ac:dyDescent="0.45">
      <c r="B38" s="104"/>
      <c r="C38" s="105" t="str">
        <f>'Control Entry'!N$33</f>
        <v/>
      </c>
      <c r="D38" s="105" t="str">
        <f>'Control Entry'!O$33</f>
        <v/>
      </c>
      <c r="E38" s="106"/>
      <c r="F38" s="107" t="str">
        <f>IF(ISBLANK('Control Entry'!H$33),"",'Control Entry'!H$33)</f>
        <v/>
      </c>
      <c r="G38" s="124" t="str">
        <f>IF(ISBLANK('Control Entry'!K$33),"",'Control Entry'!K$33)</f>
        <v/>
      </c>
      <c r="H38" s="124"/>
      <c r="I38" s="124"/>
      <c r="J38" s="108"/>
    </row>
    <row r="39" spans="2:10" ht="39.75" customHeight="1" x14ac:dyDescent="0.45">
      <c r="B39" s="96"/>
      <c r="C39" s="97" t="str">
        <f>'Control Entry'!N$34</f>
        <v/>
      </c>
      <c r="D39" s="97" t="str">
        <f>'Control Entry'!O$34</f>
        <v/>
      </c>
      <c r="E39" s="98"/>
      <c r="F39" s="99" t="str">
        <f>IF(ISBLANK('Control Entry'!F$34),"",'Control Entry'!F$34)</f>
        <v/>
      </c>
      <c r="G39" s="122" t="str">
        <f>IF(ISBLANK('Control Entry'!I$34),"",'Control Entry'!I$34)</f>
        <v/>
      </c>
      <c r="H39" s="122"/>
      <c r="I39" s="122"/>
      <c r="J39" s="100"/>
    </row>
    <row r="40" spans="2:10" ht="39.75" customHeight="1" x14ac:dyDescent="0.4">
      <c r="B40" s="101" t="str">
        <f>IF(ISBLANK('Control Entry'!D$34),"",'Control Entry'!D$34)</f>
        <v/>
      </c>
      <c r="C40" s="102" t="str">
        <f>'Control Entry'!N$34</f>
        <v/>
      </c>
      <c r="D40" s="102" t="str">
        <f>'Control Entry'!O$34</f>
        <v/>
      </c>
      <c r="E40" s="99" t="str">
        <f>IF(ISBLANK('Control Entry'!E$34),"",'Control Entry'!E$34)</f>
        <v/>
      </c>
      <c r="F40" s="99" t="str">
        <f>IF(ISBLANK('Control Entry'!G$34),"",'Control Entry'!G$34)</f>
        <v/>
      </c>
      <c r="G40" s="123" t="str">
        <f>IF(ISBLANK('Control Entry'!J$34),"",'Control Entry'!J$34)</f>
        <v/>
      </c>
      <c r="H40" s="123"/>
      <c r="I40" s="123"/>
      <c r="J40" s="103"/>
    </row>
    <row r="41" spans="2:10" ht="39.75" customHeight="1" x14ac:dyDescent="0.45">
      <c r="B41" s="104"/>
      <c r="C41" s="105" t="str">
        <f>'Control Entry'!N$34</f>
        <v/>
      </c>
      <c r="D41" s="105" t="str">
        <f>'Control Entry'!O$34</f>
        <v/>
      </c>
      <c r="E41" s="106"/>
      <c r="F41" s="107" t="str">
        <f>IF(ISBLANK('Control Entry'!H$34),"",'Control Entry'!H$34)</f>
        <v/>
      </c>
      <c r="G41" s="124" t="str">
        <f>IF(ISBLANK('Control Entry'!K$34),"",'Control Entry'!K$34)</f>
        <v/>
      </c>
      <c r="H41" s="124"/>
      <c r="I41" s="124"/>
      <c r="J41" s="108"/>
    </row>
    <row r="42" spans="2:10" ht="39.75" customHeight="1" x14ac:dyDescent="0.45">
      <c r="B42" s="96"/>
      <c r="C42" s="97" t="str">
        <f>'Control Entry'!N$35</f>
        <v/>
      </c>
      <c r="D42" s="97" t="str">
        <f>'Control Entry'!O$35</f>
        <v/>
      </c>
      <c r="E42" s="98"/>
      <c r="F42" s="99" t="str">
        <f>IF(ISBLANK('Control Entry'!F$35),"",'Control Entry'!F$35)</f>
        <v/>
      </c>
      <c r="G42" s="122" t="str">
        <f>IF(ISBLANK('Control Entry'!I$35),"",'Control Entry'!I$35)</f>
        <v/>
      </c>
      <c r="H42" s="122"/>
      <c r="I42" s="122"/>
      <c r="J42" s="100"/>
    </row>
    <row r="43" spans="2:10" ht="39.75" customHeight="1" x14ac:dyDescent="0.4">
      <c r="B43" s="101" t="str">
        <f>IF(ISBLANK('Control Entry'!D$35),"",'Control Entry'!D$35)</f>
        <v/>
      </c>
      <c r="C43" s="102" t="str">
        <f>'Control Entry'!N$35</f>
        <v/>
      </c>
      <c r="D43" s="102" t="str">
        <f>'Control Entry'!O$35</f>
        <v/>
      </c>
      <c r="E43" s="99" t="str">
        <f>IF(ISBLANK('Control Entry'!E$35),"",'Control Entry'!E$35)</f>
        <v/>
      </c>
      <c r="F43" s="99" t="str">
        <f>IF(ISBLANK('Control Entry'!G$35),"",'Control Entry'!G$35)</f>
        <v/>
      </c>
      <c r="G43" s="123" t="str">
        <f>IF(ISBLANK('Control Entry'!J$35),"",'Control Entry'!J$35)</f>
        <v/>
      </c>
      <c r="H43" s="123"/>
      <c r="I43" s="123"/>
      <c r="J43" s="103"/>
    </row>
    <row r="44" spans="2:10" ht="39.75" customHeight="1" x14ac:dyDescent="0.45">
      <c r="B44" s="104"/>
      <c r="C44" s="105" t="str">
        <f>'Control Entry'!N$35</f>
        <v/>
      </c>
      <c r="D44" s="105" t="str">
        <f>'Control Entry'!O$35</f>
        <v/>
      </c>
      <c r="E44" s="106"/>
      <c r="F44" s="107" t="str">
        <f>IF(ISBLANK('Control Entry'!H$35),"",'Control Entry'!H$35)</f>
        <v/>
      </c>
      <c r="G44" s="124" t="str">
        <f>IF(ISBLANK('Control Entry'!K$35),"",'Control Entry'!K$35)</f>
        <v/>
      </c>
      <c r="H44" s="124"/>
      <c r="I44" s="124"/>
      <c r="J44" s="108"/>
    </row>
    <row r="45" spans="2:10" ht="39.75" customHeight="1" x14ac:dyDescent="0.45">
      <c r="B45" s="96"/>
      <c r="C45" s="97" t="str">
        <f>'Control Entry'!N$36</f>
        <v/>
      </c>
      <c r="D45" s="97" t="str">
        <f>'Control Entry'!O$36</f>
        <v/>
      </c>
      <c r="E45" s="98"/>
      <c r="F45" s="99" t="str">
        <f>IF(ISBLANK('Control Entry'!F$36),"",'Control Entry'!F$36)</f>
        <v/>
      </c>
      <c r="G45" s="122" t="str">
        <f>IF(ISBLANK('Control Entry'!I$36),"",'Control Entry'!I$36)</f>
        <v/>
      </c>
      <c r="H45" s="122"/>
      <c r="I45" s="122"/>
      <c r="J45" s="100"/>
    </row>
    <row r="46" spans="2:10" ht="39.75" customHeight="1" x14ac:dyDescent="0.4">
      <c r="B46" s="101" t="str">
        <f>IF(ISBLANK('Control Entry'!D$36),"",'Control Entry'!D$36)</f>
        <v/>
      </c>
      <c r="C46" s="102" t="str">
        <f>'Control Entry'!N$36</f>
        <v/>
      </c>
      <c r="D46" s="102" t="str">
        <f>'Control Entry'!O$36</f>
        <v/>
      </c>
      <c r="E46" s="99" t="str">
        <f>IF(ISBLANK('Control Entry'!E$36),"",'Control Entry'!E$36)</f>
        <v/>
      </c>
      <c r="F46" s="99" t="str">
        <f>IF(ISBLANK('Control Entry'!G$36),"",'Control Entry'!G$36)</f>
        <v/>
      </c>
      <c r="G46" s="123" t="str">
        <f>IF(ISBLANK('Control Entry'!J$36),"",'Control Entry'!J$36)</f>
        <v/>
      </c>
      <c r="H46" s="123"/>
      <c r="I46" s="123"/>
      <c r="J46" s="103"/>
    </row>
    <row r="47" spans="2:10" ht="39.75" customHeight="1" x14ac:dyDescent="0.45">
      <c r="B47" s="104"/>
      <c r="C47" s="105" t="str">
        <f>'Control Entry'!N$36</f>
        <v/>
      </c>
      <c r="D47" s="105" t="str">
        <f>'Control Entry'!O$36</f>
        <v/>
      </c>
      <c r="E47" s="106"/>
      <c r="F47" s="107" t="str">
        <f>IF(ISBLANK('Control Entry'!H$36),"",'Control Entry'!H$36)</f>
        <v/>
      </c>
      <c r="G47" s="124" t="str">
        <f>IF(ISBLANK('Control Entry'!K$36),"",'Control Entry'!K$36)</f>
        <v/>
      </c>
      <c r="H47" s="124"/>
      <c r="I47" s="124"/>
      <c r="J47" s="108"/>
    </row>
    <row r="48" spans="2:10" ht="39.75" customHeight="1" x14ac:dyDescent="0.45">
      <c r="B48" s="96"/>
      <c r="C48" s="97" t="str">
        <f>'Control Entry'!N$37</f>
        <v/>
      </c>
      <c r="D48" s="97" t="str">
        <f>'Control Entry'!O$37</f>
        <v/>
      </c>
      <c r="E48" s="98"/>
      <c r="F48" s="99" t="str">
        <f>IF(ISBLANK('Control Entry'!F$37),"",'Control Entry'!F$37)</f>
        <v/>
      </c>
      <c r="G48" s="122" t="str">
        <f>IF(ISBLANK('Control Entry'!I$37),"",'Control Entry'!I$37)</f>
        <v/>
      </c>
      <c r="H48" s="122"/>
      <c r="I48" s="122"/>
      <c r="J48" s="100"/>
    </row>
    <row r="49" spans="2:11" ht="39.75" customHeight="1" x14ac:dyDescent="0.4">
      <c r="B49" s="101" t="str">
        <f>IF(ISBLANK('Control Entry'!D$37),"",'Control Entry'!D$37)</f>
        <v/>
      </c>
      <c r="C49" s="102" t="str">
        <f>'Control Entry'!N$37</f>
        <v/>
      </c>
      <c r="D49" s="102" t="str">
        <f>'Control Entry'!O$37</f>
        <v/>
      </c>
      <c r="E49" s="99" t="str">
        <f>IF(ISBLANK('Control Entry'!E$37),"",'Control Entry'!E$37)</f>
        <v/>
      </c>
      <c r="F49" s="99" t="str">
        <f>IF(ISBLANK('Control Entry'!G$37),"",'Control Entry'!G$37)</f>
        <v/>
      </c>
      <c r="G49" s="123" t="str">
        <f>IF(ISBLANK('Control Entry'!J$37),"",'Control Entry'!J$37)</f>
        <v/>
      </c>
      <c r="H49" s="123"/>
      <c r="I49" s="123"/>
      <c r="J49" s="103"/>
    </row>
    <row r="50" spans="2:11" ht="39.75" customHeight="1" x14ac:dyDescent="0.45">
      <c r="B50" s="104"/>
      <c r="C50" s="105" t="str">
        <f>'Control Entry'!N$37</f>
        <v/>
      </c>
      <c r="D50" s="105" t="str">
        <f>'Control Entry'!O$37</f>
        <v/>
      </c>
      <c r="E50" s="106"/>
      <c r="F50" s="107" t="str">
        <f>IF(ISBLANK('Control Entry'!H$37),"",'Control Entry'!H$37)</f>
        <v/>
      </c>
      <c r="G50" s="124" t="str">
        <f>IF(ISBLANK('Control Entry'!K$37),"",'Control Entry'!K$37)</f>
        <v/>
      </c>
      <c r="H50" s="124"/>
      <c r="I50" s="124"/>
      <c r="J50" s="108"/>
    </row>
    <row r="52" spans="2:11" ht="24" customHeight="1" x14ac:dyDescent="0.25">
      <c r="B52" s="125" t="s">
        <v>96</v>
      </c>
      <c r="C52" s="125"/>
      <c r="D52" s="125"/>
      <c r="E52" s="125"/>
      <c r="F52" s="125"/>
      <c r="I52" s="78" t="s">
        <v>97</v>
      </c>
      <c r="J52" s="110" t="str">
        <f>IF(ISBLANK('Control Entry'!F10),"",'Control Entry'!F10)</f>
        <v>604 721 0309</v>
      </c>
      <c r="K52" s="79"/>
    </row>
    <row r="54" spans="2:11" x14ac:dyDescent="0.25">
      <c r="B54" s="111" t="s">
        <v>98</v>
      </c>
      <c r="C54" s="112">
        <f>'Control Entry'!B3</f>
        <v>45393</v>
      </c>
    </row>
    <row r="55" spans="2:11" ht="22.8" x14ac:dyDescent="0.25">
      <c r="B55" s="78"/>
      <c r="C55" s="78"/>
      <c r="D55" s="78"/>
      <c r="E55" s="78"/>
      <c r="F55" s="79"/>
      <c r="G55" s="80"/>
      <c r="H55" s="80"/>
      <c r="I55" s="80"/>
      <c r="J55" s="79"/>
    </row>
    <row r="56" spans="2:11" x14ac:dyDescent="0.25">
      <c r="E56" s="15"/>
    </row>
    <row r="57" spans="2:11" x14ac:dyDescent="0.25">
      <c r="B57" s="113"/>
      <c r="C57" s="114"/>
      <c r="D57" s="114"/>
      <c r="E57" s="114"/>
      <c r="F57" s="126"/>
      <c r="G57" s="126"/>
      <c r="H57" s="126"/>
      <c r="I57" s="126"/>
      <c r="J57" s="126"/>
    </row>
  </sheetData>
  <mergeCells count="50">
    <mergeCell ref="G49:I49"/>
    <mergeCell ref="G50:I50"/>
    <mergeCell ref="B52:F52"/>
    <mergeCell ref="F57:J57"/>
    <mergeCell ref="G44:I44"/>
    <mergeCell ref="G45:I45"/>
    <mergeCell ref="G46:I46"/>
    <mergeCell ref="G47:I47"/>
    <mergeCell ref="G48:I48"/>
    <mergeCell ref="G39:I39"/>
    <mergeCell ref="G40:I40"/>
    <mergeCell ref="G41:I41"/>
    <mergeCell ref="G42:I42"/>
    <mergeCell ref="G43:I43"/>
    <mergeCell ref="G34:I34"/>
    <mergeCell ref="G35:I35"/>
    <mergeCell ref="G36:I36"/>
    <mergeCell ref="G37:I37"/>
    <mergeCell ref="G38:I38"/>
    <mergeCell ref="G29:I29"/>
    <mergeCell ref="G30:I30"/>
    <mergeCell ref="G31:I31"/>
    <mergeCell ref="G32:I32"/>
    <mergeCell ref="G33:I33"/>
    <mergeCell ref="G24:I24"/>
    <mergeCell ref="G25:I25"/>
    <mergeCell ref="G26:I26"/>
    <mergeCell ref="G27:I27"/>
    <mergeCell ref="G28:I28"/>
    <mergeCell ref="B19:J19"/>
    <mergeCell ref="G20:I20"/>
    <mergeCell ref="G21:I21"/>
    <mergeCell ref="G22:I22"/>
    <mergeCell ref="G23:I23"/>
    <mergeCell ref="D14:E14"/>
    <mergeCell ref="C17:F17"/>
    <mergeCell ref="I17:J17"/>
    <mergeCell ref="L17:M17"/>
    <mergeCell ref="N17:O17"/>
    <mergeCell ref="B10:C10"/>
    <mergeCell ref="E10:G10"/>
    <mergeCell ref="L10:M10"/>
    <mergeCell ref="N10:O10"/>
    <mergeCell ref="D12:E12"/>
    <mergeCell ref="C2:F2"/>
    <mergeCell ref="E3:H3"/>
    <mergeCell ref="E4:H4"/>
    <mergeCell ref="E5:H6"/>
    <mergeCell ref="C7:F8"/>
    <mergeCell ref="H7:H8"/>
  </mergeCells>
  <printOptions horizontalCentered="1" verticalCentered="1"/>
  <pageMargins left="0.39374999999999999" right="0.39374999999999999" top="0.39374999999999999" bottom="0.39374999999999999" header="0.511811023622047" footer="0.511811023622047"/>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20</TotalTime>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Hinde</dc:creator>
  <dc:description/>
  <cp:lastModifiedBy>Colin Fingler</cp:lastModifiedBy>
  <cp:revision>3</cp:revision>
  <cp:lastPrinted>2024-09-27T17:44:26Z</cp:lastPrinted>
  <dcterms:created xsi:type="dcterms:W3CDTF">1997-11-12T04:43:39Z</dcterms:created>
  <dcterms:modified xsi:type="dcterms:W3CDTF">2024-09-27T19:34:04Z</dcterms:modified>
  <dc:language>en-CA</dc:language>
</cp:coreProperties>
</file>