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4/5402 Red Gate/"/>
    </mc:Choice>
  </mc:AlternateContent>
  <xr:revisionPtr revIDLastSave="0" documentId="13_ncr:1_{D92627A8-6343-444A-9F3D-0279C46E90FB}" xr6:coauthVersionLast="36" xr6:coauthVersionMax="36" xr10:uidLastSave="{00000000-0000-0000-0000-000000000000}"/>
  <bookViews>
    <workbookView xWindow="0" yWindow="500" windowWidth="25600" windowHeight="15500" tabRatio="509" xr2:uid="{00000000-000D-0000-FFFF-FFFF00000000}"/>
  </bookViews>
  <sheets>
    <sheet name="Control Entry" sheetId="1" r:id="rId1"/>
    <sheet name="Card #1" sheetId="7" r:id="rId2"/>
  </sheets>
  <definedNames>
    <definedName name="Address_1" localSheetId="1">#REF!</definedName>
    <definedName name="Address_1">#REF!</definedName>
    <definedName name="Address_2" localSheetId="1">#REF!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1">#REF!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1">'Control Entry'!#REF!</definedName>
    <definedName name="Control_11">'Control Entry'!#REF!</definedName>
    <definedName name="Control_12" localSheetId="1">'Control Entry'!#REF!</definedName>
    <definedName name="Control_12">'Control Entry'!#REF!</definedName>
    <definedName name="Control_13" localSheetId="1">'Control Entry'!#REF!</definedName>
    <definedName name="Control_13">'Control Entry'!#REF!</definedName>
    <definedName name="Control_14" localSheetId="1">'Control Entry'!#REF!</definedName>
    <definedName name="Control_14">'Control Entry'!#REF!</definedName>
    <definedName name="Control_15" localSheetId="1">'Control Entry'!#REF!</definedName>
    <definedName name="Control_15">'Control Entry'!#REF!</definedName>
    <definedName name="Control_16" localSheetId="1">'Control Entry'!#REF!</definedName>
    <definedName name="Control_16">'Control Entry'!#REF!</definedName>
    <definedName name="Control_17" localSheetId="1">'Control Entry'!#REF!</definedName>
    <definedName name="Control_17">'Control Entry'!#REF!</definedName>
    <definedName name="Control_18" localSheetId="1">'Control Entry'!#REF!</definedName>
    <definedName name="Control_18">'Control Entry'!#REF!</definedName>
    <definedName name="Control_19" localSheetId="1">'Control Entry'!#REF!</definedName>
    <definedName name="Control_19">'Control Entry'!#REF!</definedName>
    <definedName name="Control_2">'Control Entry'!$D$16:$O$16</definedName>
    <definedName name="Control_20" localSheetId="1">'Control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1">#REF!</definedName>
    <definedName name="Country">#REF!</definedName>
    <definedName name="Distance">'Control Entry'!$D$15:$D$24</definedName>
    <definedName name="email" localSheetId="1">#REF!</definedName>
    <definedName name="email">#REF!</definedName>
    <definedName name="Establishment_1">'Control Entry'!$F$15:$F$24</definedName>
    <definedName name="Establishment_2">'Control Entry'!$G$15:$G$24</definedName>
    <definedName name="Establishment_3">'Control Entry'!$H$15:$H$24</definedName>
    <definedName name="Fax" localSheetId="1">#REF!</definedName>
    <definedName name="Fax">#REF!</definedName>
    <definedName name="First_Name" localSheetId="1">#REF!</definedName>
    <definedName name="First_Name">#REF!</definedName>
    <definedName name="Home_telephone" localSheetId="1">#REF!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1">#REF!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1">#REF!</definedName>
    <definedName name="Postal_Code">#REF!</definedName>
    <definedName name="_xlnm.Print_Area" localSheetId="1">'Card #1'!$A$1:$K$55</definedName>
    <definedName name="Province_State" localSheetId="1">#REF!</definedName>
    <definedName name="Province_State">#REF!</definedName>
    <definedName name="Start_date">'Control Entry'!$B$12</definedName>
    <definedName name="Start_time">'Control Entry'!$B$13</definedName>
    <definedName name="surname" localSheetId="1">#REF!</definedName>
    <definedName name="surname">#REF!</definedName>
    <definedName name="Work_telephone" localSheetId="1">#REF!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L7" i="1" l="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E4" i="7" l="1"/>
  <c r="L15" i="1" l="1"/>
  <c r="N15" i="1" s="1"/>
  <c r="C6" i="1"/>
  <c r="L24" i="1"/>
  <c r="L23" i="1"/>
  <c r="L22" i="1"/>
  <c r="L21" i="1"/>
  <c r="L20" i="1"/>
  <c r="L19" i="1"/>
  <c r="L18" i="1"/>
  <c r="L17" i="1"/>
  <c r="L16" i="1"/>
  <c r="M16" i="1" l="1"/>
  <c r="O16" i="1" s="1"/>
  <c r="C22" i="7"/>
  <c r="C23" i="7"/>
  <c r="C21" i="7"/>
  <c r="B7" i="1"/>
  <c r="M21" i="1" s="1"/>
  <c r="O21" i="1" s="1"/>
  <c r="M19" i="1"/>
  <c r="O19" i="1" s="1"/>
  <c r="M18" i="1"/>
  <c r="O18" i="1" s="1"/>
  <c r="M17" i="1"/>
  <c r="O17" i="1" s="1"/>
  <c r="M15" i="1"/>
  <c r="O15" i="1" s="1"/>
  <c r="N18" i="1"/>
  <c r="N22" i="1"/>
  <c r="N17" i="1"/>
  <c r="N21" i="1"/>
  <c r="N24" i="1"/>
  <c r="N16" i="1"/>
  <c r="N20" i="1"/>
  <c r="N19" i="1"/>
  <c r="N23" i="1"/>
  <c r="M24" i="1" l="1"/>
  <c r="O24" i="1" s="1"/>
  <c r="D50" i="7" s="1"/>
  <c r="M23" i="1"/>
  <c r="O23" i="1" s="1"/>
  <c r="D47" i="7" s="1"/>
  <c r="M20" i="1"/>
  <c r="O20" i="1" s="1"/>
  <c r="D37" i="7" s="1"/>
  <c r="M22" i="1"/>
  <c r="O22" i="1" s="1"/>
  <c r="D44" i="7" s="1"/>
  <c r="D29" i="7"/>
  <c r="D28" i="7"/>
  <c r="D27" i="7"/>
  <c r="C26" i="7"/>
  <c r="C25" i="7"/>
  <c r="C24" i="7"/>
  <c r="D26" i="7"/>
  <c r="D24" i="7"/>
  <c r="D25" i="7"/>
  <c r="C47" i="7"/>
  <c r="C45" i="7"/>
  <c r="C46" i="7"/>
  <c r="D41" i="7"/>
  <c r="D40" i="7"/>
  <c r="D39" i="7"/>
  <c r="C39" i="7"/>
  <c r="C41" i="7"/>
  <c r="C40" i="7"/>
  <c r="C43" i="7"/>
  <c r="C42" i="7"/>
  <c r="C44" i="7"/>
  <c r="C31" i="7"/>
  <c r="C32" i="7"/>
  <c r="C30" i="7"/>
  <c r="D23" i="7"/>
  <c r="D21" i="7"/>
  <c r="D22" i="7"/>
  <c r="C50" i="7"/>
  <c r="C49" i="7"/>
  <c r="C48" i="7"/>
  <c r="C35" i="7"/>
  <c r="C33" i="7"/>
  <c r="C34" i="7"/>
  <c r="C38" i="7"/>
  <c r="C37" i="7"/>
  <c r="C36" i="7"/>
  <c r="C29" i="7"/>
  <c r="C27" i="7"/>
  <c r="C28" i="7"/>
  <c r="D35" i="7"/>
  <c r="D33" i="7"/>
  <c r="D34" i="7"/>
  <c r="D31" i="7"/>
  <c r="D32" i="7"/>
  <c r="D30" i="7"/>
  <c r="D48" i="7" l="1"/>
  <c r="D49" i="7"/>
  <c r="D38" i="7"/>
  <c r="D36" i="7"/>
  <c r="D42" i="7"/>
  <c r="D46" i="7"/>
  <c r="D45" i="7"/>
  <c r="D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C2700BB7-AC40-4846-9773-3956CB914942}">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<sst xmlns="http://schemas.openxmlformats.org/spreadsheetml/2006/main" count="99" uniqueCount="89">
  <si>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</si>
  <si>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</si>
  <si>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</si>
  <si>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</si>
  <si>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</si>
  <si>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</si>
  <si>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</si>
  <si>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</si>
  <si>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</si>
  <si>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</si>
  <si>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</si>
  <si>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</si>
  <si>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</si>
  <si>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</si>
  <si>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</si>
  <si>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</si>
  <si>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</si>
  <si>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</si>
  <si>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</si>
  <si>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</si>
  <si>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</si>
  <si>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</si>
  <si>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</si>
  <si>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</si>
  <si>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</si>
  <si>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</si>
  <si>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DIST (km)</t>
  </si>
  <si>
    <t>Establishment</t>
  </si>
  <si>
    <t>Time of Passage</t>
  </si>
  <si>
    <t>Control Card</t>
  </si>
  <si>
    <t>Report results or abandonment through registration email link</t>
  </si>
  <si>
    <t>Member #</t>
  </si>
  <si>
    <t>Schedule date:</t>
  </si>
  <si>
    <t>Founding member of LES RANDONNEURS MONDIAUX (1983)</t>
  </si>
  <si>
    <t>Bicycle Type
Circle one</t>
  </si>
  <si>
    <t>-------&gt;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</si>
  <si>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</si>
  <si>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</si>
  <si>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</si>
  <si>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</si>
  <si>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</si>
  <si>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</si>
  <si>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</si>
  <si>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</si>
  <si>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</si>
  <si>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</si>
  <si>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</si>
  <si>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</si>
  <si>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Enter the start time.  This will be the official ACP listed start time found on the event page, unless a ride window has been enabled.</t>
  </si>
  <si>
    <t>Enter the start date.  This will be the same as the schedule date, exceot for pre-rides or unless a ride window has been enabled.</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</si>
  <si>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</si>
  <si>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</si>
  <si>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</si>
  <si>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</si>
  <si>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</si>
  <si>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</si>
  <si>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</si>
  <si>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</si>
  <si>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</si>
  <si>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</si>
  <si>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</si>
  <si>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</si>
  <si>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</si>
  <si>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</si>
  <si>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</si>
  <si>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</si>
  <si>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</si>
  <si>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</si>
  <si>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</si>
  <si>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</si>
  <si>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Fill in the control distance.  The opening and closing times will be automatically calculated based on the start time and the brevet distance.  If you need more than 10 controls, or need an alternate start loction, use card #2, otherwise leave that section blank. (Similarly for cards #3 and #4.)</t>
  </si>
  <si>
    <t>‭+1 (250) 588-0021‬</t>
  </si>
  <si>
    <t>SIDNEY</t>
  </si>
  <si>
    <t>Tim Horton's</t>
  </si>
  <si>
    <t>2343 Beacon Ave</t>
  </si>
  <si>
    <t>LANGFORD</t>
  </si>
  <si>
    <t>Business</t>
  </si>
  <si>
    <t>Your choice</t>
  </si>
  <si>
    <t>Hull's Corner, Jacklin Rd</t>
  </si>
  <si>
    <t>LEECHTOWN</t>
  </si>
  <si>
    <t>Information</t>
  </si>
  <si>
    <t>Red Gate</t>
  </si>
  <si>
    <t>Galloping Goose Trail</t>
  </si>
  <si>
    <t>OAK BAY</t>
  </si>
  <si>
    <t>Trafalgar Park</t>
  </si>
  <si>
    <t>King George Terrace</t>
  </si>
  <si>
    <t>Sidney - Red Gate</t>
  </si>
  <si>
    <t>Take a selfie with red gate</t>
  </si>
  <si>
    <t>Take a selfie with the statue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</si>
</sst>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numFmts>
  <fonts count="36"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sz val="18"/>
      <name val="Arial"/>
      <family val="2"/>
    </font>
    <font>
      <sz val="14"/>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4" fillId="0" borderId="0"/>
    <xf numFmtId="0" fontId="5" fillId="0" borderId="0"/>
    <xf numFmtId="0" fontId="3"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5">
    <xf numFmtId="0" fontId="0" fillId="0" borderId="0" xfId="0"/>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0" fillId="0" borderId="0" xfId="0" applyProtection="1"/>
    <xf numFmtId="0" fontId="0" fillId="0" borderId="0"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10" fillId="0" borderId="0" xfId="0" applyFont="1" applyBorder="1" applyAlignment="1" applyProtection="1">
      <alignment horizontal="right"/>
    </xf>
    <xf numFmtId="0" fontId="5" fillId="2" borderId="3" xfId="0" applyFont="1" applyFill="1" applyBorder="1" applyAlignment="1">
      <alignment horizontal="right"/>
    </xf>
    <xf numFmtId="0" fontId="10" fillId="0" borderId="0" xfId="0" applyFont="1" applyAlignment="1">
      <alignment vertical="center"/>
    </xf>
    <xf numFmtId="167" fontId="0" fillId="0" borderId="23" xfId="0" applyNumberFormat="1" applyBorder="1" applyProtection="1">
      <protection locked="0"/>
    </xf>
    <xf numFmtId="168" fontId="10" fillId="0" borderId="0" xfId="0" applyNumberFormat="1" applyFont="1" applyBorder="1" applyAlignment="1">
      <alignment horizontal="center"/>
    </xf>
    <xf numFmtId="0" fontId="10" fillId="0" borderId="0" xfId="0" applyFont="1" applyBorder="1" applyAlignment="1">
      <alignment horizontal="center"/>
    </xf>
    <xf numFmtId="18" fontId="20" fillId="0" borderId="0" xfId="0" applyNumberFormat="1" applyFont="1" applyBorder="1" applyAlignment="1">
      <alignment horizontal="center" wrapText="1"/>
    </xf>
    <xf numFmtId="0" fontId="24" fillId="2" borderId="12" xfId="0" applyFont="1" applyFill="1" applyBorder="1"/>
    <xf numFmtId="0" fontId="24" fillId="2" borderId="10" xfId="0" applyFont="1" applyFill="1" applyBorder="1"/>
    <xf numFmtId="167" fontId="0" fillId="0" borderId="22" xfId="0" applyNumberFormat="1" applyBorder="1" applyProtection="1">
      <protection locked="0"/>
    </xf>
    <xf numFmtId="0" fontId="12" fillId="0" borderId="18" xfId="0" applyFont="1" applyBorder="1" applyProtection="1">
      <protection locked="0"/>
    </xf>
    <xf numFmtId="49" fontId="12" fillId="0" borderId="18" xfId="0" applyNumberFormat="1" applyFont="1" applyBorder="1" applyAlignment="1" applyProtection="1">
      <alignment horizontal="center"/>
      <protection locked="0"/>
    </xf>
    <xf numFmtId="49" fontId="12" fillId="0" borderId="8" xfId="0" applyNumberFormat="1" applyFont="1" applyBorder="1" applyAlignment="1" applyProtection="1">
      <alignment horizontal="center"/>
      <protection locked="0"/>
    </xf>
    <xf numFmtId="0" fontId="12" fillId="0" borderId="2" xfId="0" applyFont="1" applyBorder="1" applyProtection="1">
      <protection locked="0"/>
    </xf>
    <xf numFmtId="1" fontId="12" fillId="0" borderId="4" xfId="0" applyNumberFormat="1" applyFont="1" applyBorder="1" applyProtection="1">
      <protection locked="0"/>
    </xf>
    <xf numFmtId="15" fontId="12" fillId="0" borderId="4" xfId="0" applyNumberFormat="1" applyFont="1" applyBorder="1" applyProtection="1">
      <protection locked="0"/>
    </xf>
    <xf numFmtId="20" fontId="12" fillId="0" borderId="8" xfId="0" applyNumberFormat="1" applyFont="1" applyBorder="1" applyProtection="1">
      <protection locked="0"/>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4" xfId="0" applyFont="1" applyBorder="1" applyProtection="1">
      <protection locked="0"/>
    </xf>
    <xf numFmtId="0" fontId="10" fillId="0" borderId="0" xfId="0" applyFont="1" applyAlignment="1">
      <alignment horizontal="center"/>
    </xf>
    <xf numFmtId="167" fontId="0" fillId="0" borderId="0" xfId="0" applyNumberFormat="1"/>
    <xf numFmtId="0" fontId="9" fillId="0" borderId="0" xfId="0" applyFont="1" applyAlignment="1"/>
    <xf numFmtId="0" fontId="5" fillId="0" borderId="0" xfId="0" applyFont="1"/>
    <xf numFmtId="0" fontId="0" fillId="2" borderId="26" xfId="0" applyFill="1" applyBorder="1" applyAlignment="1">
      <alignment horizontal="right"/>
    </xf>
    <xf numFmtId="15" fontId="12" fillId="0" borderId="25" xfId="0" applyNumberFormat="1" applyFont="1" applyBorder="1" applyProtection="1">
      <protection locked="0"/>
    </xf>
    <xf numFmtId="0" fontId="5" fillId="2" borderId="27" xfId="0" applyFont="1" applyFill="1" applyBorder="1" applyAlignment="1">
      <alignment horizontal="right"/>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15" fontId="27" fillId="0" borderId="4" xfId="0" applyNumberFormat="1" applyFont="1" applyBorder="1" applyAlignment="1" applyProtection="1">
      <alignment horizontal="center"/>
      <protection locked="0"/>
    </xf>
    <xf numFmtId="0" fontId="26" fillId="2" borderId="27" xfId="0" applyFont="1" applyFill="1" applyBorder="1" applyAlignment="1">
      <alignment horizontal="right"/>
    </xf>
    <xf numFmtId="0" fontId="26" fillId="0" borderId="0" xfId="0" applyFont="1" applyAlignment="1"/>
    <xf numFmtId="0" fontId="26" fillId="0" borderId="0" xfId="0" applyFont="1"/>
    <xf numFmtId="0" fontId="26"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6" fillId="0" borderId="0" xfId="0" applyFont="1" applyAlignment="1"/>
    <xf numFmtId="0" fontId="10" fillId="0" borderId="0" xfId="0" applyFont="1" applyAlignment="1">
      <alignment horizontal="right"/>
    </xf>
    <xf numFmtId="0" fontId="10" fillId="0" borderId="0" xfId="0" applyFont="1" applyBorder="1" applyAlignment="1" applyProtection="1">
      <protection locked="0"/>
    </xf>
    <xf numFmtId="0" fontId="11" fillId="0" borderId="0" xfId="0" applyFont="1" applyAlignment="1">
      <alignment vertical="center"/>
    </xf>
    <xf numFmtId="0" fontId="6" fillId="0" borderId="0" xfId="0" applyFont="1" applyAlignment="1">
      <alignment vertical="top"/>
    </xf>
    <xf numFmtId="0" fontId="5" fillId="0" borderId="0" xfId="0" applyFont="1" applyBorder="1" applyAlignment="1">
      <alignment vertical="top"/>
    </xf>
    <xf numFmtId="0" fontId="0" fillId="0" borderId="0" xfId="0" applyBorder="1" applyAlignment="1">
      <alignment vertical="top"/>
    </xf>
    <xf numFmtId="0" fontId="11" fillId="0" borderId="0" xfId="0" applyFont="1" applyAlignment="1">
      <alignment horizontal="right" vertical="center"/>
    </xf>
    <xf numFmtId="0" fontId="5" fillId="0" borderId="0" xfId="0" applyFont="1" applyBorder="1" applyAlignment="1">
      <alignment horizontal="right"/>
    </xf>
    <xf numFmtId="0" fontId="11" fillId="0" borderId="0" xfId="0" applyFont="1" applyAlignment="1">
      <alignment horizontal="left" vertical="center"/>
    </xf>
    <xf numFmtId="0" fontId="11" fillId="0" borderId="29" xfId="0" applyFont="1" applyBorder="1" applyAlignment="1">
      <alignment horizontal="right" vertical="center"/>
    </xf>
    <xf numFmtId="0" fontId="11" fillId="0" borderId="29" xfId="0" applyFont="1" applyBorder="1" applyAlignment="1">
      <alignment vertical="center"/>
    </xf>
    <xf numFmtId="0" fontId="11" fillId="0" borderId="29" xfId="0" applyFont="1" applyBorder="1" applyAlignment="1">
      <alignment horizontal="left" vertical="center"/>
    </xf>
    <xf numFmtId="0" fontId="10" fillId="0" borderId="0" xfId="0" quotePrefix="1" applyFont="1" applyAlignment="1">
      <alignment horizontal="left" vertical="center"/>
    </xf>
    <xf numFmtId="0" fontId="10" fillId="0" borderId="0" xfId="0" applyFont="1" applyAlignment="1" applyProtection="1">
      <alignment horizontal="right"/>
    </xf>
    <xf numFmtId="0" fontId="0" fillId="0" borderId="18" xfId="0" applyBorder="1" applyAlignment="1" applyProtection="1">
      <protection locked="0"/>
    </xf>
    <xf numFmtId="0" fontId="0" fillId="0" borderId="0" xfId="0" applyBorder="1" applyAlignment="1" applyProtection="1">
      <protection locked="0"/>
    </xf>
    <xf numFmtId="0" fontId="28" fillId="0" borderId="0" xfId="0" applyFont="1" applyAlignment="1">
      <alignment horizontal="right" vertical="center"/>
    </xf>
    <xf numFmtId="0" fontId="16" fillId="0" borderId="0" xfId="0" applyFont="1" applyAlignment="1">
      <alignment vertical="top"/>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left" vertical="center"/>
    </xf>
    <xf numFmtId="18" fontId="20"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28" fillId="0" borderId="0" xfId="0" applyFont="1" applyAlignment="1">
      <alignment horizontal="left" vertical="center"/>
    </xf>
    <xf numFmtId="15" fontId="26" fillId="2" borderId="2" xfId="0" applyNumberFormat="1" applyFont="1" applyFill="1" applyBorder="1" applyAlignment="1">
      <alignment horizontal="center"/>
    </xf>
    <xf numFmtId="168" fontId="10" fillId="0" borderId="0" xfId="0" applyNumberFormat="1" applyFont="1" applyBorder="1" applyAlignment="1" applyProtection="1">
      <alignment horizontal="center"/>
      <protection locked="0"/>
    </xf>
    <xf numFmtId="0" fontId="16" fillId="0" borderId="0" xfId="0" applyFont="1" applyAlignment="1">
      <alignment vertical="center" wrapText="1"/>
    </xf>
    <xf numFmtId="0" fontId="0" fillId="0" borderId="0" xfId="0" applyBorder="1" applyAlignment="1">
      <alignment horizontal="left"/>
    </xf>
    <xf numFmtId="0" fontId="5" fillId="0" borderId="0" xfId="0" applyFont="1" applyAlignment="1">
      <alignment horizontal="right" vertical="top"/>
    </xf>
    <xf numFmtId="15" fontId="5" fillId="0" borderId="0" xfId="0" applyNumberFormat="1" applyFont="1" applyBorder="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5" xfId="0" applyFont="1" applyFill="1" applyBorder="1" applyAlignment="1">
      <alignment horizontal="right" vertical="center"/>
    </xf>
    <xf numFmtId="169" fontId="11" fillId="0" borderId="0" xfId="0" applyNumberFormat="1" applyFont="1" applyAlignment="1">
      <alignment vertical="center"/>
    </xf>
    <xf numFmtId="169" fontId="0" fillId="0" borderId="25" xfId="0" applyNumberFormat="1" applyBorder="1" applyAlignment="1" applyProtection="1">
      <alignment horizontal="left"/>
      <protection locked="0"/>
    </xf>
    <xf numFmtId="0" fontId="0" fillId="2" borderId="30" xfId="0" applyFill="1" applyBorder="1" applyAlignment="1">
      <alignment horizontal="right"/>
    </xf>
    <xf numFmtId="0" fontId="0" fillId="2" borderId="17" xfId="0" applyFill="1" applyBorder="1"/>
    <xf numFmtId="0" fontId="12" fillId="0" borderId="0" xfId="0" applyFont="1" applyBorder="1" applyAlignment="1" applyProtection="1">
      <protection locked="0"/>
    </xf>
    <xf numFmtId="0" fontId="32" fillId="0" borderId="0" xfId="0" applyFont="1"/>
    <xf numFmtId="0" fontId="31" fillId="0" borderId="0" xfId="0" applyFont="1"/>
    <xf numFmtId="0" fontId="31" fillId="0" borderId="0" xfId="0" applyFont="1" applyAlignment="1">
      <alignment vertical="top" wrapText="1"/>
    </xf>
    <xf numFmtId="167" fontId="34" fillId="0" borderId="16" xfId="0" applyNumberFormat="1" applyFont="1" applyBorder="1" applyAlignment="1">
      <alignment horizontal="center" wrapText="1"/>
    </xf>
    <xf numFmtId="0" fontId="34" fillId="0" borderId="17" xfId="0" applyFont="1" applyBorder="1" applyAlignment="1">
      <alignment horizontal="center" vertical="center"/>
    </xf>
    <xf numFmtId="0" fontId="35" fillId="0" borderId="16" xfId="0" applyFont="1" applyBorder="1" applyAlignment="1">
      <alignment horizontal="center" vertical="center" wrapText="1"/>
    </xf>
    <xf numFmtId="0" fontId="8" fillId="0" borderId="28" xfId="0" applyFont="1" applyBorder="1"/>
    <xf numFmtId="167" fontId="35" fillId="0" borderId="16" xfId="0" applyNumberFormat="1" applyFont="1" applyBorder="1" applyAlignment="1">
      <alignment horizontal="center" vertical="center"/>
    </xf>
    <xf numFmtId="18" fontId="35" fillId="0" borderId="16" xfId="0" applyNumberFormat="1" applyFont="1" applyBorder="1" applyAlignment="1">
      <alignment horizontal="center" vertical="center" wrapText="1"/>
    </xf>
    <xf numFmtId="0" fontId="8" fillId="0" borderId="16" xfId="0" applyFont="1" applyBorder="1"/>
    <xf numFmtId="167" fontId="34" fillId="0" borderId="7" xfId="0" applyNumberFormat="1" applyFont="1" applyBorder="1"/>
    <xf numFmtId="0" fontId="34" fillId="0" borderId="18" xfId="0" applyFont="1" applyBorder="1" applyAlignment="1">
      <alignment horizontal="center" vertical="center"/>
    </xf>
    <xf numFmtId="0" fontId="35" fillId="0" borderId="7" xfId="0" applyFont="1" applyBorder="1" applyAlignment="1">
      <alignment horizontal="center" vertical="center" wrapText="1"/>
    </xf>
    <xf numFmtId="0" fontId="8" fillId="0" borderId="7" xfId="0" applyFont="1" applyBorder="1"/>
    <xf numFmtId="0" fontId="34" fillId="0" borderId="16" xfId="0" applyFont="1" applyBorder="1" applyAlignment="1">
      <alignment horizontal="center" vertical="center"/>
    </xf>
    <xf numFmtId="166" fontId="20" fillId="0" borderId="16" xfId="0" applyNumberFormat="1" applyFont="1" applyBorder="1" applyAlignment="1">
      <alignment horizontal="center" vertical="center" wrapText="1"/>
    </xf>
    <xf numFmtId="165" fontId="20" fillId="0" borderId="7" xfId="0" applyNumberFormat="1" applyFont="1" applyBorder="1" applyAlignment="1">
      <alignment horizontal="center" vertical="center" wrapText="1"/>
    </xf>
    <xf numFmtId="0" fontId="25" fillId="0" borderId="0" xfId="0" applyFont="1" applyAlignment="1">
      <alignment horizontal="center"/>
    </xf>
    <xf numFmtId="0" fontId="12" fillId="0" borderId="25" xfId="0" applyFont="1" applyBorder="1" applyAlignment="1" applyProtection="1">
      <alignment horizontal="center"/>
      <protection locked="0"/>
    </xf>
    <xf numFmtId="0" fontId="31" fillId="0" borderId="0" xfId="0" applyFont="1" applyAlignment="1">
      <alignment horizontal="left" vertical="top" wrapText="1"/>
    </xf>
    <xf numFmtId="0" fontId="30" fillId="0" borderId="0" xfId="0" applyFont="1" applyAlignment="1">
      <alignment horizontal="right"/>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5" fillId="0" borderId="0" xfId="0" applyFont="1" applyAlignment="1">
      <alignment horizontal="left"/>
    </xf>
    <xf numFmtId="0" fontId="18"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3"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right" vertical="center"/>
    </xf>
    <xf numFmtId="0" fontId="35" fillId="0" borderId="22"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10" fillId="0" borderId="0" xfId="0" applyFont="1" applyAlignment="1">
      <alignment horizontal="center"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Border="1" applyAlignment="1">
      <alignment horizontal="right"/>
    </xf>
    <xf numFmtId="0" fontId="10" fillId="0" borderId="0" xfId="0" applyFont="1" applyAlignment="1">
      <alignment horizontal="right"/>
    </xf>
    <xf numFmtId="0" fontId="6" fillId="0" borderId="20" xfId="0" applyFont="1" applyBorder="1" applyAlignment="1">
      <alignment horizontal="center"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9" fillId="0" borderId="0" xfId="0" applyFont="1" applyAlignment="1">
      <alignment horizontal="left" vertical="center"/>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
  <sheetViews>
    <sheetView showGridLines="0" tabSelected="1" zoomScale="140" zoomScaleNormal="140" zoomScalePageLayoutView="135" workbookViewId="0">
      <selection activeCell="I18" sqref="I18"/>
    </sheetView>
  </sheetViews>
  <sheetFormatPr baseColWidth="10" defaultColWidth="8.83203125" defaultRowHeight="13" x14ac:dyDescent="0.15"/>
  <cols>
    <col min="1" max="1" width="16.5" style="1" customWidth="1"/>
    <col min="2" max="2" width="10.83203125" customWidth="1"/>
    <col min="3" max="3" width="1" style="2" hidden="1" customWidth="1"/>
    <col min="4" max="4" width="8.33203125" customWidth="1"/>
    <col min="5" max="5" width="17" bestFit="1" customWidth="1"/>
    <col min="6" max="11" width="34.1640625" customWidth="1"/>
    <col min="12" max="15" width="17.83203125" hidden="1" customWidth="1"/>
    <col min="16" max="16" width="2.1640625" customWidth="1"/>
  </cols>
  <sheetData>
    <row r="1" spans="1:33" ht="20" customHeight="1" x14ac:dyDescent="0.2">
      <c r="A1" s="116" t="s">
        <v>56</v>
      </c>
      <c r="B1" s="116"/>
      <c r="C1" s="116"/>
      <c r="D1" s="116"/>
      <c r="E1" s="116"/>
      <c r="F1" s="116"/>
      <c r="G1" s="116"/>
      <c r="H1" s="49" t="s">
        <v>53</v>
      </c>
      <c r="Q1" s="118" t="s">
        <v>55</v>
      </c>
      <c r="R1" s="118"/>
      <c r="S1" s="118"/>
      <c r="T1" s="118"/>
      <c r="U1" s="118"/>
      <c r="V1" s="118"/>
      <c r="W1" s="118"/>
      <c r="X1" s="118"/>
      <c r="Y1" s="118"/>
      <c r="Z1" s="118"/>
      <c r="AA1" s="118"/>
      <c r="AB1" s="118"/>
      <c r="AC1" s="118"/>
      <c r="AD1" s="118"/>
      <c r="AE1" s="118"/>
      <c r="AF1" s="118"/>
      <c r="AG1" s="101"/>
    </row>
    <row r="2" spans="1:33" ht="13" customHeight="1" thickBot="1" x14ac:dyDescent="0.2">
      <c r="H2" s="50"/>
      <c r="I2" s="50"/>
      <c r="Q2" s="118"/>
      <c r="R2" s="118"/>
      <c r="S2" s="118"/>
      <c r="T2" s="118"/>
      <c r="U2" s="118"/>
      <c r="V2" s="118"/>
      <c r="W2" s="118"/>
      <c r="X2" s="118"/>
      <c r="Y2" s="118"/>
      <c r="Z2" s="118"/>
      <c r="AA2" s="118"/>
      <c r="AB2" s="118"/>
      <c r="AC2" s="118"/>
      <c r="AD2" s="118"/>
      <c r="AE2" s="118"/>
      <c r="AF2" s="118"/>
      <c r="AG2" s="101"/>
    </row>
    <row r="3" spans="1:33" s="55" customFormat="1" ht="13" customHeight="1" thickBot="1" x14ac:dyDescent="0.2">
      <c r="A3" s="53" t="s">
        <v>52</v>
      </c>
      <c r="B3" s="85">
        <v>45167</v>
      </c>
      <c r="C3" s="54"/>
      <c r="D3" s="54"/>
      <c r="G3" s="54"/>
      <c r="H3" s="56"/>
      <c r="I3" s="56"/>
      <c r="Q3" s="118"/>
      <c r="R3" s="118"/>
      <c r="S3" s="118"/>
      <c r="T3" s="118"/>
      <c r="U3" s="118"/>
      <c r="V3" s="118"/>
      <c r="W3" s="118"/>
      <c r="X3" s="118"/>
      <c r="Y3" s="118"/>
      <c r="Z3" s="118"/>
      <c r="AA3" s="118"/>
      <c r="AB3" s="118"/>
      <c r="AC3" s="118"/>
      <c r="AD3" s="118"/>
      <c r="AE3" s="118"/>
      <c r="AF3" s="118"/>
      <c r="AG3" s="101"/>
    </row>
    <row r="4" spans="1:33" ht="13" customHeight="1" x14ac:dyDescent="0.15">
      <c r="A4" s="47" t="s">
        <v>54</v>
      </c>
      <c r="B4" s="52">
        <v>45361</v>
      </c>
      <c r="C4" s="48"/>
      <c r="D4" s="48"/>
      <c r="G4" s="48"/>
      <c r="H4" s="50"/>
      <c r="I4" s="50"/>
      <c r="Q4" s="118"/>
      <c r="R4" s="118"/>
      <c r="S4" s="118"/>
      <c r="T4" s="118"/>
      <c r="U4" s="118"/>
      <c r="V4" s="118"/>
      <c r="W4" s="118"/>
      <c r="X4" s="118"/>
      <c r="Y4" s="118"/>
      <c r="Z4" s="118"/>
      <c r="AA4" s="118"/>
      <c r="AB4" s="118"/>
      <c r="AC4" s="118"/>
      <c r="AD4" s="118"/>
      <c r="AE4" s="118"/>
      <c r="AF4" s="118"/>
      <c r="AG4" s="101"/>
    </row>
    <row r="5" spans="1:33" ht="7" customHeight="1" thickBot="1" x14ac:dyDescent="0.2">
      <c r="H5" s="50"/>
      <c r="I5" s="50"/>
      <c r="Q5" s="101"/>
      <c r="R5" s="101"/>
      <c r="S5" s="101"/>
      <c r="T5" s="101"/>
      <c r="U5" s="101"/>
      <c r="V5" s="101"/>
      <c r="W5" s="101"/>
      <c r="X5" s="101"/>
      <c r="Y5" s="101"/>
      <c r="Z5" s="101"/>
      <c r="AA5" s="101"/>
      <c r="AB5" s="101"/>
      <c r="AC5" s="101"/>
      <c r="AD5" s="101"/>
      <c r="AE5" s="101"/>
      <c r="AF5" s="101"/>
      <c r="AG5" s="101"/>
    </row>
    <row r="6" spans="1:33" ht="18" x14ac:dyDescent="0.2">
      <c r="A6" s="10" t="s">
        <v>15</v>
      </c>
      <c r="B6" s="33">
        <v>200</v>
      </c>
      <c r="C6">
        <f>IF(Brevet_Length&gt;=1200,Brevet_Length,IF(Brevet_Length&gt;=1000,1000,IF(Brevet_Length&gt;=600,600,IF(Brevet_Length&gt;=400,400,IF(Brevet_Length&gt;=300,300,IF(Brevet_Length&gt;=200,200,100))))))</f>
        <v>200</v>
      </c>
      <c r="J6" s="119" t="s">
        <v>40</v>
      </c>
      <c r="K6" s="119"/>
      <c r="Q6" s="99" t="s">
        <v>41</v>
      </c>
      <c r="R6" s="99"/>
      <c r="S6" s="99"/>
      <c r="T6" s="99"/>
      <c r="U6" s="99"/>
      <c r="V6" s="99"/>
      <c r="W6" s="99"/>
      <c r="X6" s="100"/>
      <c r="Y6" s="100"/>
      <c r="Z6" s="100"/>
    </row>
    <row r="7" spans="1:33" ht="14" x14ac:dyDescent="0.15">
      <c r="A7" s="11" t="s">
        <v>16</v>
      </c>
      <c r="B7" s="97">
        <f>IF(brevet=1200,90,IF(brevet=1000,75,IF(brevet=600,40,IF(brevet=400,27,IF(brevet=300,20,IF(brevet=200,13.5,IF(brevet&lt;200,L7,0)))))))</f>
        <v>13.5</v>
      </c>
      <c r="L7">
        <f>IF(Brevet_Length=150,10.5,IF(Brevet_Length=100,7,IF(Brevet_Length=50,3.5,IF(Brevet_Length=25, 2,0))))</f>
        <v>0</v>
      </c>
      <c r="Q7" s="100" t="s">
        <v>42</v>
      </c>
      <c r="R7" s="100"/>
      <c r="S7" s="100"/>
      <c r="T7" s="100"/>
      <c r="U7" s="100"/>
      <c r="V7" s="100"/>
      <c r="W7" s="100"/>
      <c r="X7" s="100"/>
      <c r="Y7" s="100"/>
      <c r="Z7" s="100"/>
    </row>
    <row r="8" spans="1:33" ht="18" x14ac:dyDescent="0.2">
      <c r="A8" s="96" t="s">
        <v>17</v>
      </c>
      <c r="B8" s="117" t="s">
        <v>86</v>
      </c>
      <c r="C8" s="117"/>
      <c r="D8" s="117"/>
      <c r="E8" s="117"/>
      <c r="F8" s="117"/>
      <c r="G8" s="98"/>
      <c r="H8" s="98"/>
      <c r="I8" s="18"/>
      <c r="J8" s="18"/>
      <c r="K8" s="18"/>
      <c r="O8" s="19"/>
      <c r="P8" s="19"/>
      <c r="Q8" s="99" t="s">
        <v>43</v>
      </c>
      <c r="R8" s="100"/>
      <c r="S8" s="100"/>
      <c r="T8" s="100"/>
      <c r="U8" s="100"/>
      <c r="V8" s="100"/>
      <c r="W8" s="100"/>
      <c r="X8" s="100"/>
      <c r="Y8" s="100"/>
      <c r="Z8" s="100"/>
    </row>
    <row r="9" spans="1:33" ht="18" x14ac:dyDescent="0.2">
      <c r="A9" s="11" t="s">
        <v>18</v>
      </c>
      <c r="B9" s="34">
        <v>5402</v>
      </c>
      <c r="C9" s="15"/>
      <c r="F9" s="16"/>
      <c r="G9" s="16"/>
      <c r="H9" s="16"/>
      <c r="I9" s="16"/>
      <c r="J9" s="16"/>
      <c r="K9" s="16"/>
      <c r="Q9" s="99" t="s">
        <v>44</v>
      </c>
      <c r="R9" s="100"/>
      <c r="S9" s="100"/>
      <c r="T9" s="100"/>
      <c r="U9" s="100"/>
      <c r="V9" s="100"/>
      <c r="W9" s="100"/>
      <c r="X9" s="100"/>
      <c r="Y9" s="100"/>
      <c r="Z9" s="100"/>
    </row>
    <row r="10" spans="1:33" ht="18" x14ac:dyDescent="0.2">
      <c r="A10" s="21" t="s">
        <v>32</v>
      </c>
      <c r="B10" s="35">
        <v>45374</v>
      </c>
      <c r="E10" s="93" t="s">
        <v>67</v>
      </c>
      <c r="F10" s="95" t="s">
        <v>71</v>
      </c>
      <c r="Q10" s="99" t="s">
        <v>45</v>
      </c>
      <c r="R10" s="100"/>
      <c r="S10" s="100"/>
      <c r="T10" s="100"/>
      <c r="U10" s="100"/>
      <c r="V10" s="100"/>
      <c r="W10" s="100"/>
      <c r="X10" s="100"/>
      <c r="Y10" s="100"/>
      <c r="Z10" s="100"/>
    </row>
    <row r="11" spans="1:33" ht="6" customHeight="1" x14ac:dyDescent="0.15">
      <c r="B11" s="51"/>
      <c r="Q11" s="100"/>
      <c r="R11" s="100"/>
      <c r="S11" s="100"/>
      <c r="T11" s="100"/>
      <c r="U11" s="100"/>
      <c r="V11" s="100"/>
      <c r="W11" s="100"/>
      <c r="X11" s="100"/>
      <c r="Y11" s="100"/>
      <c r="Z11" s="100"/>
    </row>
    <row r="12" spans="1:33" ht="18" customHeight="1" thickBot="1" x14ac:dyDescent="0.25">
      <c r="A12" s="45" t="s">
        <v>19</v>
      </c>
      <c r="B12" s="46">
        <v>45374</v>
      </c>
      <c r="Q12" s="99" t="s">
        <v>49</v>
      </c>
      <c r="R12" s="100"/>
      <c r="S12" s="100"/>
      <c r="T12" s="100"/>
      <c r="U12" s="100"/>
      <c r="V12" s="100"/>
      <c r="W12" s="100"/>
      <c r="X12" s="100"/>
      <c r="Y12" s="100"/>
      <c r="Z12" s="100"/>
    </row>
    <row r="13" spans="1:33" ht="19" thickBot="1" x14ac:dyDescent="0.25">
      <c r="A13" s="9" t="s">
        <v>20</v>
      </c>
      <c r="B13" s="36">
        <v>0.29166666666666669</v>
      </c>
      <c r="D13" s="120" t="s">
        <v>51</v>
      </c>
      <c r="E13" s="121"/>
      <c r="F13" s="121"/>
      <c r="G13" s="121"/>
      <c r="H13" s="121"/>
      <c r="I13" s="122" t="s">
        <v>47</v>
      </c>
      <c r="J13" s="121"/>
      <c r="K13" s="123"/>
      <c r="Q13" s="99" t="s">
        <v>48</v>
      </c>
      <c r="R13" s="100"/>
      <c r="S13" s="100"/>
      <c r="T13" s="100"/>
      <c r="U13" s="100"/>
      <c r="V13" s="100"/>
      <c r="W13" s="100"/>
      <c r="X13" s="100"/>
      <c r="Y13" s="100"/>
      <c r="Z13" s="100"/>
    </row>
    <row r="14" spans="1:33" ht="15" thickBot="1" x14ac:dyDescent="0.2">
      <c r="D14" s="5" t="s">
        <v>21</v>
      </c>
      <c r="E14" s="6" t="s">
        <v>22</v>
      </c>
      <c r="F14" s="27" t="s">
        <v>23</v>
      </c>
      <c r="G14" s="27" t="s">
        <v>24</v>
      </c>
      <c r="H14" s="28" t="s">
        <v>25</v>
      </c>
      <c r="I14" s="6" t="s">
        <v>37</v>
      </c>
      <c r="J14" s="6" t="s">
        <v>38</v>
      </c>
      <c r="K14" s="7" t="s">
        <v>39</v>
      </c>
      <c r="L14" t="s">
        <v>0</v>
      </c>
      <c r="M14" t="s">
        <v>1</v>
      </c>
      <c r="N14" t="s">
        <v>2</v>
      </c>
      <c r="O14" t="s">
        <v>3</v>
      </c>
      <c r="Q14" s="99" t="s">
        <v>68</v>
      </c>
      <c r="R14" s="100"/>
      <c r="S14" s="100"/>
      <c r="T14" s="100"/>
      <c r="U14" s="100"/>
      <c r="V14" s="100"/>
      <c r="W14" s="100"/>
      <c r="X14" s="100"/>
      <c r="Y14" s="100"/>
      <c r="Z14" s="100"/>
    </row>
    <row r="15" spans="1:33" ht="17" customHeight="1" x14ac:dyDescent="0.15">
      <c r="C15" s="2" t="s">
        <v>4</v>
      </c>
      <c r="D15" s="17">
        <v>0</v>
      </c>
      <c r="E15" s="37" t="s">
        <v>72</v>
      </c>
      <c r="F15" s="38" t="s">
        <v>76</v>
      </c>
      <c r="G15" s="38" t="s">
        <v>73</v>
      </c>
      <c r="H15" s="39" t="s">
        <v>74</v>
      </c>
      <c r="I15" s="38"/>
      <c r="J15" s="38"/>
      <c r="K15" s="39"/>
      <c r="L15" s="3">
        <f>Start_date+Start_time</f>
        <v>45374.291666666664</v>
      </c>
      <c r="M15" s="3">
        <f>L15+"1:00"</f>
        <v>45374.333333333328</v>
      </c>
      <c r="N15" s="4">
        <f>IF(ISBLANK(Distance),"",Open Control_1)</f>
        <v>45374.291666666664</v>
      </c>
      <c r="O15" s="4">
        <f>IF(ISBLANK(Distance),"",Close Control_1)</f>
        <v>45374.333333333328</v>
      </c>
      <c r="Q15" s="99" t="s">
        <v>70</v>
      </c>
      <c r="R15" s="100"/>
      <c r="S15" s="100"/>
      <c r="T15" s="100"/>
      <c r="U15" s="100"/>
      <c r="V15" s="100"/>
      <c r="W15" s="100"/>
      <c r="X15" s="100"/>
      <c r="Y15" s="100"/>
      <c r="Z15" s="100"/>
    </row>
    <row r="16" spans="1:33" ht="17" customHeight="1" x14ac:dyDescent="0.15">
      <c r="B16" s="42"/>
      <c r="C16" s="2" t="s">
        <v>5</v>
      </c>
      <c r="D16" s="17">
        <v>52.6</v>
      </c>
      <c r="E16" s="37" t="s">
        <v>75</v>
      </c>
      <c r="F16" s="38" t="s">
        <v>76</v>
      </c>
      <c r="G16" s="38" t="s">
        <v>77</v>
      </c>
      <c r="H16" s="39" t="s">
        <v>78</v>
      </c>
      <c r="I16" s="38"/>
      <c r="J16" s="38"/>
      <c r="K16" s="39"/>
      <c r="L16">
        <f>IF(ISBLANK(Distance),"",IF(Distance&gt;1000,(Distance-1000)/26+33.0847,(IF(Distance&gt;600,(Distance-600)/28+18.799,(IF(Distance&gt;400,(Distance-400)/30+12.1324,(IF(Distance&gt;200,(Distance-200)/32+5.8824,Distance/34))))))))</f>
        <v>1.5470588235294118</v>
      </c>
      <c r="M16">
        <f>IF(ISBLANK(Distance),"",IF(Distance&gt;=brevet,D16200IF(brevet&gt;1200,(brevet-1200)*75/1000+90,Max_time),IF(Distance&gt;1200,(Distance-1200)*75/1000+90,IF(Distance&gt;1000,(Distance-1000)/(1000/75)+75,IF(Distance&gt;600,(Distance-600)/(400/35)+40,IF(Distance&lt;=60,(Distance/20+1),Distance/15))))))</f>
        <v>3.63</v>
      </c>
      <c r="N16" s="4">
        <f>IF(ISBLANK(Distance),"",Open_time Control_1+(INT(Open)&amp;":"&amp;IF(ROUND(((Open-INT(Open))*60),0)&lt;10,0,"")&amp;ROUND(((Open-INT(Open))*60),0)))</f>
        <v>45374.356249999997</v>
      </c>
      <c r="O16" s="4">
        <f>IF(ISBLANK(Distance),"",Open_time Control_1+(INT(Close)&amp;":"&amp;IF(ROUND(((Close-INT(Close))*60),0)&lt;10,0,"")&amp;ROUND(((Close-INT(Close))*60),0)))</f>
        <v>45374.443055555552</v>
      </c>
      <c r="Q16" s="99" t="s">
        <v>69</v>
      </c>
      <c r="R16" s="100"/>
      <c r="S16" s="100"/>
      <c r="T16" s="100"/>
      <c r="U16" s="100"/>
      <c r="V16" s="100"/>
      <c r="W16" s="100"/>
      <c r="X16" s="100"/>
      <c r="Y16" s="100"/>
      <c r="Z16" s="100"/>
    </row>
    <row r="17" spans="2:26" ht="17" customHeight="1" x14ac:dyDescent="0.15">
      <c r="B17" s="42"/>
      <c r="C17" s="2" t="s">
        <v>6</v>
      </c>
      <c r="D17" s="17">
        <v>102.3</v>
      </c>
      <c r="E17" s="37" t="s">
        <v>79</v>
      </c>
      <c r="F17" s="38" t="s">
        <v>80</v>
      </c>
      <c r="G17" s="38" t="s">
        <v>81</v>
      </c>
      <c r="H17" s="39" t="s">
        <v>82</v>
      </c>
      <c r="I17" s="38" t="s">
        <v>87</v>
      </c>
      <c r="J17" s="38"/>
      <c r="K17" s="39"/>
      <c r="L17">
        <f>IF(ISBLANK(Distance),"",IF(Distance&gt;1000,(Distance-1000)/26+33.0847,(IF(Distance&gt;600,(Distance-600)/28+18.799,(IF(Distance&gt;400,(Distance-400)/30+12.1324,(IF(Distance&gt;200,(Distance-200)/32+5.8824,Distance/34))))))))</f>
        <v>3.0088235294117647</v>
      </c>
      <c r="M17">
        <f t="shared" ref="M17:M24" si="0">IF(ISBLANK(Distance),"",IF(Distance&gt;=brevet,IF(brevet&gt;1200,(brevet-1200)*75/1000+90,Max_time),IF(Distance&gt;1200,(Distance-1200)*75/1000+90,IF(Distance&gt;1000,(Distance-1000)/(1000/75)+75,IF(Distance&gt;600,(Distance-600)/(400/35)+40,IF(Distance&lt;=60,(Distance/20+1),Distance/15))))))</f>
        <v>6.8199999999999994</v>
      </c>
      <c r="N17" s="4">
        <f>IF(ISBLANK(Distance),"",Open_time Control_1+(INT(Open)&amp;":"&amp;IF(ROUND(((Open-INT(Open))*60),0)&lt;10,0,"")&amp;ROUND(((Open-INT(Open))*60),0)))</f>
        <v>45374.417361111111</v>
      </c>
      <c r="O17" s="4">
        <f>IF(ISBLANK(Distance),"",Open_time Control_1+(INT(Close)&amp;":"&amp;IF(ROUND(((Close-INT(Close))*60),0)&lt;10,0,"")&amp;ROUND(((Close-INT(Close))*60),0)))</f>
        <v>45374.575694444444</v>
      </c>
      <c r="Q17" s="99" t="s">
        <v>46</v>
      </c>
      <c r="R17" s="100"/>
      <c r="S17" s="100"/>
      <c r="T17" s="100"/>
      <c r="U17" s="100"/>
      <c r="V17" s="100"/>
      <c r="W17" s="100"/>
      <c r="X17" s="100"/>
      <c r="Y17" s="100"/>
      <c r="Z17" s="100"/>
    </row>
    <row r="18" spans="2:26" ht="17" customHeight="1" x14ac:dyDescent="0.15">
      <c r="B18" s="42"/>
      <c r="C18" s="2" t="s">
        <v>7</v>
      </c>
      <c r="D18" s="17">
        <v>165.3</v>
      </c>
      <c r="E18" s="37" t="s">
        <v>83</v>
      </c>
      <c r="F18" s="38" t="s">
        <v>80</v>
      </c>
      <c r="G18" s="38" t="s">
        <v>84</v>
      </c>
      <c r="H18" s="39" t="s">
        <v>85</v>
      </c>
      <c r="I18" s="38" t="s">
        <v>88</v>
      </c>
      <c r="J18" s="38"/>
      <c r="K18" s="39"/>
      <c r="L18">
        <f t="shared" ref="L18:L24" si="1">IF(ISBLANK(Distance),"",IF(Distance&gt;1000,(Distance-1000)/26+33.0847,(IF(Distance&gt;600,(Distance-600)/28+18.799,(IF(Distance&gt;400,(Distance-400)/30+12.1324,(IF(Distance&gt;200,(Distance-200)/32+5.8824,Distance/34))))))))</f>
        <v>4.8617647058823534</v>
      </c>
      <c r="M18">
        <f t="shared" si="0"/>
        <v>11.020000000000001</v>
      </c>
      <c r="N18" s="4">
        <f>IF(ISBLANK(Distance),"",Open_time Control_1+(INT(Open)&amp;":"&amp;IF(ROUND(((Open-INT(Open))*60),0)&lt;10,0,"")&amp;ROUND(((Open-INT(Open))*60),0)))</f>
        <v>45374.494444444441</v>
      </c>
      <c r="O18" s="4">
        <f>IF(ISBLANK(Distance),"",Open_time Control_1+(INT(Close)&amp;":"&amp;IF(ROUND(((Close-INT(Close))*60),0)&lt;10,0,"")&amp;ROUND(((Close-INT(Close))*60),0)))</f>
        <v>45374.750694444439</v>
      </c>
    </row>
    <row r="19" spans="2:26" ht="17" customHeight="1" x14ac:dyDescent="0.15">
      <c r="B19" s="42"/>
      <c r="C19" s="2" t="s">
        <v>8</v>
      </c>
      <c r="D19" s="17">
        <v>200.6</v>
      </c>
      <c r="E19" s="37" t="s">
        <v>72</v>
      </c>
      <c r="F19" s="38" t="s">
        <v>76</v>
      </c>
      <c r="G19" s="38" t="s">
        <v>73</v>
      </c>
      <c r="H19" s="39" t="s">
        <v>74</v>
      </c>
      <c r="I19" s="38"/>
      <c r="J19" s="38"/>
      <c r="K19" s="39"/>
      <c r="L19">
        <f t="shared" si="1"/>
        <v>5.9011499999999995</v>
      </c>
      <c r="M19">
        <f t="shared" si="0"/>
        <v>13.5</v>
      </c>
      <c r="N19" s="4">
        <f>IF(ISBLANK(Distance),"",Open_time Control_1+(INT(Open)&amp;":"&amp;IF(ROUND(((Open-INT(Open))*60),0)&lt;10,0,"")&amp;ROUND(((Open-INT(Open))*60),0)))</f>
        <v>45374.537499999999</v>
      </c>
      <c r="O19" s="4">
        <f>IF(ISBLANK(Distance),"",Open_time Control_1+(INT(Close)&amp;":"&amp;IF(ROUND(((Close-INT(Close))*60),0)&lt;10,0,"")&amp;ROUND(((Close-INT(Close))*60),0)))</f>
        <v>45374.854166666664</v>
      </c>
      <c r="Q19" s="44"/>
    </row>
    <row r="20" spans="2:26" ht="17" customHeight="1" x14ac:dyDescent="0.15">
      <c r="B20" s="42"/>
      <c r="C20" s="2" t="s">
        <v>9</v>
      </c>
      <c r="D20" s="17"/>
      <c r="E20" s="37"/>
      <c r="F20" s="38"/>
      <c r="G20" s="38"/>
      <c r="H20" s="39"/>
      <c r="I20" s="38"/>
      <c r="J20" s="38"/>
      <c r="K20" s="39"/>
      <c r="L20" t="str">
        <f t="shared" si="1"/>
        <v/>
      </c>
      <c r="M20" t="str">
        <f t="shared" si="0"/>
        <v/>
      </c>
      <c r="N20" s="4" t="str">
        <f>IF(ISBLANK(Distance),"",Open_time Control_1+(INT(Open)&amp;":"&amp;IF(ROUND(((Open-INT(Open))*60),0)&lt;10,0,"")&amp;ROUND(((Open-INT(Open))*60),0)))</f>
        <v/>
      </c>
      <c r="O20" s="4" t="str">
        <f>IF(ISBLANK(Distance),"",Open_time Control_1+(INT(Close)&amp;":"&amp;IF(ROUND(((Close-INT(Close))*60),0)&lt;10,0,"")&amp;ROUND(((Close-INT(Close))*60),0)))</f>
        <v/>
      </c>
    </row>
    <row r="21" spans="2:26" ht="17" customHeight="1" x14ac:dyDescent="0.15">
      <c r="B21" s="42"/>
      <c r="C21" s="2" t="s">
        <v>10</v>
      </c>
      <c r="D21" s="17"/>
      <c r="E21" s="37"/>
      <c r="F21" s="38"/>
      <c r="G21" s="38"/>
      <c r="H21" s="39"/>
      <c r="I21" s="38"/>
      <c r="J21" s="38"/>
      <c r="K21" s="39"/>
      <c r="L21" t="str">
        <f t="shared" si="1"/>
        <v/>
      </c>
      <c r="M21" t="str">
        <f t="shared" si="0"/>
        <v/>
      </c>
      <c r="N21" s="4" t="str">
        <f>IF(ISBLANK(Distance),"",Open_time Control_1+(INT(Open)&amp;":"&amp;IF(ROUND(((Open-INT(Open))*60),0)&lt;10,0,"")&amp;ROUND(((Open-INT(Open))*60),0)))</f>
        <v/>
      </c>
      <c r="O21" s="4" t="str">
        <f>IF(ISBLANK(Distance),"",Open_time Control_1+(INT(Close)&amp;":"&amp;IF(ROUND(((Close-INT(Close))*60),0)&lt;10,0,"")&amp;ROUND(((Close-INT(Close))*60),0)))</f>
        <v/>
      </c>
    </row>
    <row r="22" spans="2:26" ht="17" customHeight="1" x14ac:dyDescent="0.15">
      <c r="B22" s="42"/>
      <c r="C22" s="2" t="s">
        <v>11</v>
      </c>
      <c r="D22" s="17"/>
      <c r="E22" s="37"/>
      <c r="F22" s="38"/>
      <c r="G22" s="38"/>
      <c r="H22" s="39"/>
      <c r="I22" s="38"/>
      <c r="J22" s="38"/>
      <c r="K22" s="39"/>
      <c r="L22" t="str">
        <f t="shared" si="1"/>
        <v/>
      </c>
      <c r="M22" t="str">
        <f t="shared" si="0"/>
        <v/>
      </c>
      <c r="N22" s="4" t="str">
        <f>IF(ISBLANK(Distance),"",Open_time Control_1+(INT(Open)&amp;":"&amp;IF(ROUND(((Open-INT(Open))*60),0)&lt;10,0,"")&amp;ROUND(((Open-INT(Open))*60),0)))</f>
        <v/>
      </c>
      <c r="O22" s="4" t="str">
        <f>IF(ISBLANK(Distance),"",Open_time Control_1+(INT(Close)&amp;":"&amp;IF(ROUND(((Close-INT(Close))*60),0)&lt;10,0,"")&amp;ROUND(((Close-INT(Close))*60),0)))</f>
        <v/>
      </c>
    </row>
    <row r="23" spans="2:26" ht="17" customHeight="1" x14ac:dyDescent="0.15">
      <c r="B23" s="42"/>
      <c r="C23" s="2" t="s">
        <v>12</v>
      </c>
      <c r="D23" s="17"/>
      <c r="E23" s="37"/>
      <c r="F23" s="38"/>
      <c r="G23" s="38"/>
      <c r="H23" s="39"/>
      <c r="I23" s="38"/>
      <c r="J23" s="38"/>
      <c r="K23" s="39"/>
      <c r="L23" t="str">
        <f t="shared" si="1"/>
        <v/>
      </c>
      <c r="M23" t="str">
        <f t="shared" si="0"/>
        <v/>
      </c>
      <c r="N23" s="4" t="str">
        <f>IF(ISBLANK(Distance),"",Open_time Control_1+(INT(Open)&amp;":"&amp;IF(ROUND(((Open-INT(Open))*60),0)&lt;10,0,"")&amp;ROUND(((Open-INT(Open))*60),0)))</f>
        <v/>
      </c>
      <c r="O23" s="4" t="str">
        <f>IF(ISBLANK(Distance),"",Open_time Control_1+(INT(Close)&amp;":"&amp;IF(ROUND(((Close-INT(Close))*60),0)&lt;10,0,"")&amp;ROUND(((Close-INT(Close))*60),0)))</f>
        <v/>
      </c>
    </row>
    <row r="24" spans="2:26" ht="17" customHeight="1" thickBot="1" x14ac:dyDescent="0.2">
      <c r="B24" s="42"/>
      <c r="C24" s="2" t="s">
        <v>13</v>
      </c>
      <c r="D24" s="23"/>
      <c r="E24" s="40"/>
      <c r="F24" s="38"/>
      <c r="G24" s="38"/>
      <c r="H24" s="39"/>
      <c r="I24" s="38"/>
      <c r="J24" s="38"/>
      <c r="K24" s="39"/>
      <c r="L24" t="str">
        <f t="shared" si="1"/>
        <v/>
      </c>
      <c r="M24" t="str">
        <f t="shared" si="0"/>
        <v/>
      </c>
      <c r="N24" s="4" t="str">
        <f>IF(ISBLANK(Distance),"",Open_time Control_1+(INT(Open)&amp;":"&amp;IF(ROUND(((Open-INT(Open))*60),0)&lt;10,0,"")&amp;ROUND(((Open-INT(Open))*60),0)))</f>
        <v/>
      </c>
      <c r="O24" s="4" t="str">
        <f>IF(ISBLANK(Distance),"",Open_time Control_1+(INT(Close)&amp;":"&amp;IF(ROUND(((Close-INT(Close))*60),0)&lt;10,0,"")&amp;ROUND(((Close-INT(Close))*60),0)))</f>
        <v/>
      </c>
    </row>
    <row r="25" spans="2:26" ht="7" customHeight="1" thickBot="1" x14ac:dyDescent="0.25">
      <c r="D25" s="29"/>
      <c r="E25" s="30"/>
      <c r="F25" s="31"/>
      <c r="G25" s="31"/>
      <c r="H25" s="31"/>
      <c r="I25" s="31"/>
      <c r="J25" s="31"/>
      <c r="K25" s="32"/>
      <c r="N25" s="4"/>
      <c r="O25" s="4"/>
    </row>
  </sheetData>
  <sheetProtection formatCells="0" selectLockedCells="1"/>
  <mergeCells count="6">
    <mergeCell ref="A1:G1"/>
    <mergeCell ref="B8:F8"/>
    <mergeCell ref="Q1:AF4"/>
    <mergeCell ref="J6:K6"/>
    <mergeCell ref="D13:H13"/>
    <mergeCell ref="I13:K13"/>
  </mergeCells>
  <phoneticPr fontId="13"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view="pageLayout" zoomScale="75" zoomScaleNormal="115" zoomScalePageLayoutView="75" workbookViewId="0">
      <selection activeCell="B22" sqref="B22"/>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24" t="s">
        <v>33</v>
      </c>
      <c r="D2" s="124"/>
      <c r="E2" s="124"/>
      <c r="F2" s="124"/>
      <c r="G2" s="63"/>
      <c r="H2" s="63"/>
      <c r="I2" s="91" t="s">
        <v>59</v>
      </c>
      <c r="J2" s="92">
        <f>'Control Entry'!B4</f>
        <v>45361</v>
      </c>
      <c r="K2" s="63"/>
      <c r="L2" s="63"/>
    </row>
    <row r="3" spans="2:15" ht="45" customHeight="1" x14ac:dyDescent="0.45">
      <c r="D3" s="12"/>
      <c r="E3" s="133" t="s">
        <v>29</v>
      </c>
      <c r="F3" s="133"/>
      <c r="G3" s="133"/>
      <c r="H3" s="133"/>
      <c r="I3" s="76" t="s">
        <v>61</v>
      </c>
      <c r="J3" s="84">
        <f>IF(ISBLANK(Brevet_Number),"",Brevet_Number)</f>
        <v>5402</v>
      </c>
      <c r="K3" s="43"/>
      <c r="L3" s="43"/>
    </row>
    <row r="4" spans="2:15" ht="20" customHeight="1" x14ac:dyDescent="0.15">
      <c r="C4" s="12"/>
      <c r="E4" s="134" t="str">
        <f>IF(ISBLANK(Brevet_Length),"",Brevet_Length&amp;" km Randonnée")</f>
        <v>200 km Randonnée</v>
      </c>
      <c r="F4" s="134"/>
      <c r="G4" s="134"/>
      <c r="H4" s="134"/>
      <c r="K4" s="58"/>
      <c r="L4" s="58"/>
    </row>
    <row r="5" spans="2:15" ht="20" customHeight="1" x14ac:dyDescent="0.2">
      <c r="D5" s="59"/>
      <c r="E5" s="132" t="str">
        <f>IF(ISBLANK(Brevet_Description),"",Brevet_Description)</f>
        <v>Sidney - Red Gate</v>
      </c>
      <c r="F5" s="132"/>
      <c r="G5" s="132"/>
      <c r="H5" s="132"/>
      <c r="I5" s="87"/>
      <c r="J5" s="59"/>
      <c r="K5" s="59"/>
      <c r="L5" s="59"/>
    </row>
    <row r="6" spans="2:15" ht="20" x14ac:dyDescent="0.2">
      <c r="D6" s="77"/>
      <c r="E6" s="132"/>
      <c r="F6" s="132"/>
      <c r="G6" s="132"/>
      <c r="H6" s="132"/>
      <c r="I6" s="87"/>
      <c r="J6" s="77"/>
      <c r="K6" s="59"/>
      <c r="L6" s="59"/>
    </row>
    <row r="7" spans="2:15" ht="25" customHeight="1" x14ac:dyDescent="0.15">
      <c r="C7" s="128"/>
      <c r="D7" s="128"/>
      <c r="E7" s="128"/>
      <c r="F7" s="128"/>
      <c r="H7" s="130"/>
    </row>
    <row r="8" spans="2:15" ht="21" thickBot="1" x14ac:dyDescent="0.25">
      <c r="B8" s="60" t="s">
        <v>62</v>
      </c>
      <c r="C8" s="129"/>
      <c r="D8" s="129"/>
      <c r="E8" s="129"/>
      <c r="F8" s="129"/>
      <c r="G8" s="20" t="s">
        <v>31</v>
      </c>
      <c r="H8" s="131"/>
      <c r="I8" s="61"/>
      <c r="J8" s="61"/>
      <c r="K8" s="61"/>
      <c r="L8" s="19"/>
    </row>
    <row r="9" spans="2:15" ht="22" customHeight="1" x14ac:dyDescent="0.15">
      <c r="B9" s="78"/>
      <c r="C9" s="78"/>
      <c r="D9" s="78"/>
      <c r="E9" s="78"/>
      <c r="F9" s="79"/>
      <c r="G9" s="80"/>
      <c r="H9" s="80"/>
      <c r="I9" s="80"/>
      <c r="J9" s="79"/>
    </row>
    <row r="10" spans="2:15" ht="20" customHeight="1" x14ac:dyDescent="0.15">
      <c r="B10" s="126" t="s">
        <v>34</v>
      </c>
      <c r="C10" s="126"/>
      <c r="D10" s="72" t="s">
        <v>35</v>
      </c>
      <c r="E10" s="127" t="s">
        <v>58</v>
      </c>
      <c r="F10" s="127"/>
      <c r="G10" s="127"/>
      <c r="H10" s="83"/>
      <c r="I10" s="67"/>
      <c r="J10" s="67"/>
      <c r="K10" s="22"/>
      <c r="L10" s="135"/>
      <c r="M10" s="135"/>
      <c r="N10" s="135"/>
      <c r="O10" s="135"/>
    </row>
    <row r="11" spans="2:15" ht="23" x14ac:dyDescent="0.15">
      <c r="B11" s="66"/>
      <c r="C11" s="66"/>
      <c r="D11" s="66"/>
      <c r="E11" s="66"/>
      <c r="F11" s="62"/>
      <c r="G11" s="68"/>
      <c r="H11" s="68"/>
      <c r="I11" s="68"/>
      <c r="J11" s="62"/>
    </row>
    <row r="12" spans="2:15" ht="21" thickBot="1" x14ac:dyDescent="0.25">
      <c r="D12" s="149" t="s">
        <v>19</v>
      </c>
      <c r="E12" s="149"/>
      <c r="F12" s="82">
        <f>IF(ISBLANK('Control Entry'!B12),"",'Control Entry'!B12)</f>
        <v>45374</v>
      </c>
      <c r="G12" s="86"/>
      <c r="H12" s="73" t="s">
        <v>64</v>
      </c>
      <c r="I12" s="81">
        <f>IF(ISBLANK('Control Entry'!B13),"",'Control Entry'!B13)</f>
        <v>0.29166666666666669</v>
      </c>
      <c r="J12" s="26"/>
    </row>
    <row r="13" spans="2:15" ht="20" x14ac:dyDescent="0.2">
      <c r="D13" s="25"/>
      <c r="E13" s="25"/>
      <c r="F13" s="24"/>
      <c r="G13" s="24"/>
      <c r="H13" s="24"/>
      <c r="J13" s="19"/>
      <c r="K13" s="14"/>
      <c r="L13" s="26"/>
      <c r="M13" s="26"/>
      <c r="N13" s="26"/>
      <c r="O13" s="19"/>
    </row>
    <row r="14" spans="2:15" ht="21" thickBot="1" x14ac:dyDescent="0.25">
      <c r="D14" s="150" t="s">
        <v>63</v>
      </c>
      <c r="E14" s="150"/>
      <c r="F14" s="82"/>
      <c r="G14" s="86"/>
      <c r="H14" s="73" t="s">
        <v>65</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66</v>
      </c>
      <c r="I16" s="81"/>
      <c r="J16" s="26"/>
      <c r="K16" s="13"/>
      <c r="L16" s="75"/>
      <c r="M16" s="75"/>
      <c r="N16" s="75"/>
    </row>
    <row r="17" spans="2:15" ht="20" x14ac:dyDescent="0.15">
      <c r="C17" s="151" t="s">
        <v>14</v>
      </c>
      <c r="D17" s="151"/>
      <c r="E17" s="151"/>
      <c r="F17" s="151"/>
      <c r="G17" s="22"/>
      <c r="H17" s="22"/>
      <c r="I17" s="145"/>
      <c r="J17" s="145"/>
      <c r="K17" s="22"/>
      <c r="L17" s="135"/>
      <c r="M17" s="135"/>
      <c r="N17" s="135"/>
      <c r="O17" s="135"/>
    </row>
    <row r="18" spans="2:15" ht="6" customHeight="1" thickBot="1" x14ac:dyDescent="0.2">
      <c r="B18" s="69"/>
      <c r="C18" s="69"/>
      <c r="D18" s="69"/>
      <c r="E18" s="69"/>
      <c r="F18" s="70"/>
      <c r="G18" s="71"/>
      <c r="H18" s="71"/>
      <c r="I18" s="71"/>
      <c r="J18" s="70"/>
    </row>
    <row r="19" spans="2:15" ht="22" thickTop="1" thickBot="1" x14ac:dyDescent="0.2">
      <c r="B19" s="125" t="s">
        <v>50</v>
      </c>
      <c r="C19" s="125"/>
      <c r="D19" s="125"/>
      <c r="E19" s="125"/>
      <c r="F19" s="125"/>
      <c r="G19" s="125"/>
      <c r="H19" s="125"/>
      <c r="I19" s="125"/>
      <c r="J19" s="125"/>
    </row>
    <row r="20" spans="2:15" ht="20" thickBot="1" x14ac:dyDescent="0.25">
      <c r="B20" s="57" t="s">
        <v>26</v>
      </c>
      <c r="C20" s="8" t="s">
        <v>0</v>
      </c>
      <c r="D20" s="8" t="s">
        <v>1</v>
      </c>
      <c r="E20" s="8" t="s">
        <v>22</v>
      </c>
      <c r="F20" s="8" t="s">
        <v>27</v>
      </c>
      <c r="G20" s="146" t="s">
        <v>36</v>
      </c>
      <c r="H20" s="147"/>
      <c r="I20" s="148"/>
      <c r="J20" s="57" t="s">
        <v>28</v>
      </c>
    </row>
    <row r="21" spans="2:15" ht="40" customHeight="1" x14ac:dyDescent="0.25">
      <c r="B21" s="102"/>
      <c r="C21" s="114">
        <f>Control_1 Open_time</f>
        <v>45374.291666666664</v>
      </c>
      <c r="D21" s="114">
        <f>Control_1 Close_time</f>
        <v>45374.333333333328</v>
      </c>
      <c r="E21" s="103"/>
      <c r="F21" s="104" t="str">
        <f>IF(ISBLANK(Control_1 Establishment_1),"",Control_1 Establishment_1)</f>
        <v>Business</v>
      </c>
      <c r="G21" s="139" t="str">
        <f>IF(ISBLANK('Control Entry'!I15),"",'Control Entry'!I15)</f>
        <v/>
      </c>
      <c r="H21" s="140"/>
      <c r="I21" s="141"/>
      <c r="J21" s="105"/>
    </row>
    <row r="22" spans="2:15" ht="40" customHeight="1" x14ac:dyDescent="0.25">
      <c r="B22" s="106">
        <f>IF(ISBLANK(Distance Control_1),"",Control_1 Distance)</f>
        <v>0</v>
      </c>
      <c r="C22" s="107">
        <f>Control_1 Open_time</f>
        <v>45374.291666666664</v>
      </c>
      <c r="D22" s="107">
        <f>Control_1 Close_time</f>
        <v>45374.333333333328</v>
      </c>
      <c r="E22" s="104" t="str">
        <f>IF(ISBLANK(Locale Control_1),"",Locale Control_1)</f>
        <v>SIDNEY</v>
      </c>
      <c r="F22" s="104" t="str">
        <f>IF(ISBLANK(Control_1 Establishment_2),"",Control_1 Establishment_2)</f>
        <v>Tim Horton's</v>
      </c>
      <c r="G22" s="142" t="str">
        <f>IF(ISBLANK('Control Entry'!J15),"",'Control Entry'!J15)</f>
        <v/>
      </c>
      <c r="H22" s="143"/>
      <c r="I22" s="144"/>
      <c r="J22" s="108"/>
    </row>
    <row r="23" spans="2:15" ht="40" customHeight="1" thickBot="1" x14ac:dyDescent="0.3">
      <c r="B23" s="109"/>
      <c r="C23" s="115">
        <f>Control_1 Open_time</f>
        <v>45374.291666666664</v>
      </c>
      <c r="D23" s="115">
        <f>Control_1 Close_time</f>
        <v>45374.333333333328</v>
      </c>
      <c r="E23" s="110"/>
      <c r="F23" s="111" t="str">
        <f>IF(ISBLANK(Control_1 Establishment_3),"",Control_1 Establishment_3)</f>
        <v>2343 Beacon Ave</v>
      </c>
      <c r="G23" s="136" t="str">
        <f>IF(ISBLANK('Control Entry'!K15),"",'Control Entry'!K15)</f>
        <v/>
      </c>
      <c r="H23" s="137"/>
      <c r="I23" s="138"/>
      <c r="J23" s="112"/>
    </row>
    <row r="24" spans="2:15" ht="40" customHeight="1" x14ac:dyDescent="0.25">
      <c r="B24" s="102"/>
      <c r="C24" s="114">
        <f>Control_2 Open_time</f>
        <v>45374.356249999997</v>
      </c>
      <c r="D24" s="114">
        <f>Control_2 Close_time</f>
        <v>45374.443055555552</v>
      </c>
      <c r="E24" s="113"/>
      <c r="F24" s="104" t="str">
        <f>IF(ISBLANK(Control_2 Establishment_1),"",Control_2 Establishment_1)</f>
        <v>Business</v>
      </c>
      <c r="G24" s="139" t="str">
        <f>IF(ISBLANK('Control Entry'!I16),"",'Control Entry'!I16)</f>
        <v/>
      </c>
      <c r="H24" s="140"/>
      <c r="I24" s="141"/>
      <c r="J24" s="105"/>
    </row>
    <row r="25" spans="2:15" ht="40" customHeight="1" x14ac:dyDescent="0.25">
      <c r="B25" s="106">
        <f>IF(ISBLANK(Distance Control_2),"",Control_2 Distance)</f>
        <v>52.6</v>
      </c>
      <c r="C25" s="107">
        <f>Control_2 Open_time</f>
        <v>45374.356249999997</v>
      </c>
      <c r="D25" s="107">
        <f>Control_2 Close_time</f>
        <v>45374.443055555552</v>
      </c>
      <c r="E25" s="104" t="str">
        <f>IF(ISBLANK(Locale Control_2),"",Locale Control_2)</f>
        <v>LANGFORD</v>
      </c>
      <c r="F25" s="104" t="str">
        <f>IF(ISBLANK(Control_2 Establishment_2),"",Control_2 Establishment_2)</f>
        <v>Your choice</v>
      </c>
      <c r="G25" s="142" t="str">
        <f>IF(ISBLANK('Control Entry'!J16),"",'Control Entry'!J16)</f>
        <v/>
      </c>
      <c r="H25" s="143"/>
      <c r="I25" s="144"/>
      <c r="J25" s="108"/>
    </row>
    <row r="26" spans="2:15" ht="40" customHeight="1" thickBot="1" x14ac:dyDescent="0.3">
      <c r="B26" s="109"/>
      <c r="C26" s="115">
        <f>Control_2 Open_time</f>
        <v>45374.356249999997</v>
      </c>
      <c r="D26" s="115">
        <f>Control_2 Close_time</f>
        <v>45374.443055555552</v>
      </c>
      <c r="E26" s="110"/>
      <c r="F26" s="111" t="str">
        <f>IF(ISBLANK(Control_2 Establishment_3),"",Control_2 Establishment_3)</f>
        <v>Hull's Corner, Jacklin Rd</v>
      </c>
      <c r="G26" s="136" t="str">
        <f>IF(ISBLANK('Control Entry'!K16),"",'Control Entry'!K16)</f>
        <v/>
      </c>
      <c r="H26" s="137"/>
      <c r="I26" s="138"/>
      <c r="J26" s="112"/>
    </row>
    <row r="27" spans="2:15" ht="40" customHeight="1" x14ac:dyDescent="0.25">
      <c r="B27" s="102"/>
      <c r="C27" s="114">
        <f>Control_3 Open_time</f>
        <v>45374.417361111111</v>
      </c>
      <c r="D27" s="114">
        <f>Control_3 Close_time</f>
        <v>45374.575694444444</v>
      </c>
      <c r="E27" s="113"/>
      <c r="F27" s="104" t="str">
        <f>IF(ISBLANK(Control_3 Establishment_1),"",Control_3 Establishment_1)</f>
        <v>Information</v>
      </c>
      <c r="G27" s="139" t="str">
        <f>IF(ISBLANK('Control Entry'!I17),"",'Control Entry'!I17)</f>
        <v>Take a selfie with red gate</v>
      </c>
      <c r="H27" s="140"/>
      <c r="I27" s="141"/>
      <c r="J27" s="105"/>
    </row>
    <row r="28" spans="2:15" ht="40" customHeight="1" x14ac:dyDescent="0.25">
      <c r="B28" s="106">
        <f>IF(ISBLANK(Distance Control_3),"",Control_3 Distance)</f>
        <v>102.3</v>
      </c>
      <c r="C28" s="107">
        <f>Control_3 Open_time</f>
        <v>45374.417361111111</v>
      </c>
      <c r="D28" s="107">
        <f>Control_3 Close_time</f>
        <v>45374.575694444444</v>
      </c>
      <c r="E28" s="104" t="str">
        <f>IF(ISBLANK(Locale Control_3),"",Locale Control_3)</f>
        <v>LEECHTOWN</v>
      </c>
      <c r="F28" s="104" t="str">
        <f>IF(ISBLANK(Control_3 Establishment_2),"",Control_3 Establishment_2)</f>
        <v>Red Gate</v>
      </c>
      <c r="G28" s="142" t="str">
        <f>IF(ISBLANK('Control Entry'!J17),"",'Control Entry'!J17)</f>
        <v/>
      </c>
      <c r="H28" s="143"/>
      <c r="I28" s="144"/>
      <c r="J28" s="108"/>
    </row>
    <row r="29" spans="2:15" ht="40" customHeight="1" thickBot="1" x14ac:dyDescent="0.3">
      <c r="B29" s="109"/>
      <c r="C29" s="115">
        <f>Control_3 Open_time</f>
        <v>45374.417361111111</v>
      </c>
      <c r="D29" s="115">
        <f>Control_3 Close_time</f>
        <v>45374.575694444444</v>
      </c>
      <c r="E29" s="110"/>
      <c r="F29" s="111" t="str">
        <f>IF(ISBLANK(Control_3 Establishment_3),"",Control_3 Establishment_3)</f>
        <v>Galloping Goose Trail</v>
      </c>
      <c r="G29" s="136" t="str">
        <f>IF(ISBLANK('Control Entry'!K17),"",'Control Entry'!K17)</f>
        <v/>
      </c>
      <c r="H29" s="137"/>
      <c r="I29" s="138"/>
      <c r="J29" s="112"/>
    </row>
    <row r="30" spans="2:15" ht="40" customHeight="1" x14ac:dyDescent="0.25">
      <c r="B30" s="102"/>
      <c r="C30" s="114">
        <f>Control_4 Open_time</f>
        <v>45374.494444444441</v>
      </c>
      <c r="D30" s="114">
        <f>Control_4 Close_time</f>
        <v>45374.750694444439</v>
      </c>
      <c r="E30" s="113"/>
      <c r="F30" s="104" t="str">
        <f>IF(ISBLANK(Control_4 Establishment_1),"",Control_4 Establishment_1)</f>
        <v>Information</v>
      </c>
      <c r="G30" s="139" t="str">
        <f>IF(ISBLANK('Control Entry'!I18),"",'Control Entry'!I18)</f>
        <v>Take a selfie with the statue</v>
      </c>
      <c r="H30" s="140"/>
      <c r="I30" s="141"/>
      <c r="J30" s="105"/>
    </row>
    <row r="31" spans="2:15" ht="40" customHeight="1" x14ac:dyDescent="0.25">
      <c r="B31" s="106">
        <f>IF(ISBLANK(Distance Control_4),"",Control_4 Distance)</f>
        <v>165.3</v>
      </c>
      <c r="C31" s="107">
        <f>Control_4 Open_time</f>
        <v>45374.494444444441</v>
      </c>
      <c r="D31" s="107">
        <f>Control_4 Close_time</f>
        <v>45374.750694444439</v>
      </c>
      <c r="E31" s="104" t="str">
        <f>IF(ISBLANK(Locale Control_4),"",Locale Control_4)</f>
        <v>OAK BAY</v>
      </c>
      <c r="F31" s="104" t="str">
        <f>IF(ISBLANK(Control_4 Establishment_2),"",Control_4 Establishment_2)</f>
        <v>Trafalgar Park</v>
      </c>
      <c r="G31" s="142" t="str">
        <f>IF(ISBLANK('Control Entry'!J18),"",'Control Entry'!J18)</f>
        <v/>
      </c>
      <c r="H31" s="143"/>
      <c r="I31" s="144"/>
      <c r="J31" s="108"/>
    </row>
    <row r="32" spans="2:15" ht="40" customHeight="1" thickBot="1" x14ac:dyDescent="0.3">
      <c r="B32" s="109"/>
      <c r="C32" s="115">
        <f>Control_4 Open_time</f>
        <v>45374.494444444441</v>
      </c>
      <c r="D32" s="115">
        <f>Control_4 Close_time</f>
        <v>45374.750694444439</v>
      </c>
      <c r="E32" s="110"/>
      <c r="F32" s="111" t="str">
        <f>IF(ISBLANK(Control_4 Establishment_3),"",Control_4 Establishment_3)</f>
        <v>King George Terrace</v>
      </c>
      <c r="G32" s="136" t="str">
        <f>IF(ISBLANK('Control Entry'!K18),"",'Control Entry'!K18)</f>
        <v/>
      </c>
      <c r="H32" s="137"/>
      <c r="I32" s="138"/>
      <c r="J32" s="112"/>
    </row>
    <row r="33" spans="2:10" ht="40" customHeight="1" x14ac:dyDescent="0.25">
      <c r="B33" s="102"/>
      <c r="C33" s="114">
        <f>Control_5 Open_time</f>
        <v>45374.537499999999</v>
      </c>
      <c r="D33" s="114">
        <f>Control_5 Close_time</f>
        <v>45374.854166666664</v>
      </c>
      <c r="E33" s="113"/>
      <c r="F33" s="104" t="str">
        <f>IF(ISBLANK(Control_5 Establishment_1),"",Control_5 Establishment_1)</f>
        <v>Business</v>
      </c>
      <c r="G33" s="139" t="str">
        <f>IF(ISBLANK('Control Entry'!I19),"",'Control Entry'!I19)</f>
        <v/>
      </c>
      <c r="H33" s="140"/>
      <c r="I33" s="141"/>
      <c r="J33" s="105"/>
    </row>
    <row r="34" spans="2:10" ht="40" customHeight="1" x14ac:dyDescent="0.25">
      <c r="B34" s="106">
        <f>IF(ISBLANK(Distance Control_5),"",Control_5 Distance)</f>
        <v>200.6</v>
      </c>
      <c r="C34" s="107">
        <f>Control_5 Open_time</f>
        <v>45374.537499999999</v>
      </c>
      <c r="D34" s="107">
        <f>Control_5 Close_time</f>
        <v>45374.854166666664</v>
      </c>
      <c r="E34" s="104" t="str">
        <f>IF(ISBLANK(Locale Control_5),"",Locale Control_5)</f>
        <v>SIDNEY</v>
      </c>
      <c r="F34" s="104" t="str">
        <f>IF(ISBLANK(Control_5 Establishment_2),"",Control_5 Establishment_2)</f>
        <v>Tim Horton's</v>
      </c>
      <c r="G34" s="142" t="str">
        <f>IF(ISBLANK('Control Entry'!J19),"",'Control Entry'!J19)</f>
        <v/>
      </c>
      <c r="H34" s="143"/>
      <c r="I34" s="144"/>
      <c r="J34" s="108"/>
    </row>
    <row r="35" spans="2:10" ht="40" customHeight="1" thickBot="1" x14ac:dyDescent="0.3">
      <c r="B35" s="109"/>
      <c r="C35" s="115">
        <f>Control_5 Open_time</f>
        <v>45374.537499999999</v>
      </c>
      <c r="D35" s="115">
        <f>Control_5 Close_time</f>
        <v>45374.854166666664</v>
      </c>
      <c r="E35" s="110"/>
      <c r="F35" s="111" t="str">
        <f>IF(ISBLANK(Control_5 Establishment_3),"",Control_5 Establishment_3)</f>
        <v>2343 Beacon Ave</v>
      </c>
      <c r="G35" s="136" t="str">
        <f>IF(ISBLANK('Control Entry'!K19),"",'Control Entry'!K19)</f>
        <v/>
      </c>
      <c r="H35" s="137"/>
      <c r="I35" s="138"/>
      <c r="J35" s="112"/>
    </row>
    <row r="36" spans="2:10" ht="40" customHeight="1" x14ac:dyDescent="0.25">
      <c r="B36" s="102"/>
      <c r="C36" s="114" t="str">
        <f>Control_6 Open_time</f>
        <v/>
      </c>
      <c r="D36" s="114" t="str">
        <f>Control_6 Close_time</f>
        <v/>
      </c>
      <c r="E36" s="113"/>
      <c r="F36" s="104" t="str">
        <f>IF(ISBLANK(Control_6 Establishment_1),"",Control_6 Establishment_1)</f>
        <v/>
      </c>
      <c r="G36" s="139" t="str">
        <f>IF(ISBLANK('Control Entry'!I20),"",'Control Entry'!I20)</f>
        <v/>
      </c>
      <c r="H36" s="140"/>
      <c r="I36" s="141"/>
      <c r="J36" s="105"/>
    </row>
    <row r="37" spans="2:10" ht="40" customHeight="1" x14ac:dyDescent="0.25">
      <c r="B37" s="106" t="str">
        <f>IF(ISBLANK(Distance Control_6),"",Control_6 Distance)</f>
        <v/>
      </c>
      <c r="C37" s="107" t="str">
        <f>Control_6 Open_time</f>
        <v/>
      </c>
      <c r="D37" s="107" t="str">
        <f>Control_6 Close_time</f>
        <v/>
      </c>
      <c r="E37" s="104" t="str">
        <f>IF(ISBLANK(Locale Control_6),"",Locale Control_6)</f>
        <v/>
      </c>
      <c r="F37" s="104" t="str">
        <f>IF(ISBLANK(Control_6 Establishment_2),"",Control_6 Establishment_2)</f>
        <v/>
      </c>
      <c r="G37" s="142" t="str">
        <f>IF(ISBLANK('Control Entry'!J20),"",'Control Entry'!J20)</f>
        <v/>
      </c>
      <c r="H37" s="143"/>
      <c r="I37" s="144"/>
      <c r="J37" s="108"/>
    </row>
    <row r="38" spans="2:10" ht="40" customHeight="1" thickBot="1" x14ac:dyDescent="0.3">
      <c r="B38" s="109"/>
      <c r="C38" s="115" t="str">
        <f>Control_6 Open_time</f>
        <v/>
      </c>
      <c r="D38" s="115" t="str">
        <f>Control_6 Close_time</f>
        <v/>
      </c>
      <c r="E38" s="110"/>
      <c r="F38" s="111" t="str">
        <f>IF(ISBLANK(Control_6 Establishment_3),"",Control_6 Establishment_3)</f>
        <v/>
      </c>
      <c r="G38" s="136" t="str">
        <f>IF(ISBLANK('Control Entry'!K20),"",'Control Entry'!K20)</f>
        <v/>
      </c>
      <c r="H38" s="137"/>
      <c r="I38" s="138"/>
      <c r="J38" s="112"/>
    </row>
    <row r="39" spans="2:10" ht="40" customHeight="1" x14ac:dyDescent="0.25">
      <c r="B39" s="102"/>
      <c r="C39" s="114" t="str">
        <f>Control_7 Open_time</f>
        <v/>
      </c>
      <c r="D39" s="114" t="str">
        <f>Control_7 Close_time</f>
        <v/>
      </c>
      <c r="E39" s="113"/>
      <c r="F39" s="104" t="str">
        <f>IF(ISBLANK(Control_7 Establishment_1),"",Control_7 Establishment_1)</f>
        <v/>
      </c>
      <c r="G39" s="139" t="str">
        <f>IF(ISBLANK('Control Entry'!I21),"",'Control Entry'!I21)</f>
        <v/>
      </c>
      <c r="H39" s="140"/>
      <c r="I39" s="141"/>
      <c r="J39" s="105"/>
    </row>
    <row r="40" spans="2:10" ht="40" customHeight="1" x14ac:dyDescent="0.25">
      <c r="B40" s="106" t="str">
        <f>IF(ISBLANK(Distance Control_7),"",Control_7 Distance)</f>
        <v/>
      </c>
      <c r="C40" s="107" t="str">
        <f>Control_7 Open_time</f>
        <v/>
      </c>
      <c r="D40" s="107" t="str">
        <f>Control_7 Close_time</f>
        <v/>
      </c>
      <c r="E40" s="104" t="str">
        <f>IF(ISBLANK(Locale Control_7),"",Locale Control_7)</f>
        <v/>
      </c>
      <c r="F40" s="104" t="str">
        <f>IF(ISBLANK(Control_7 Establishment_2),"",Control_7 Establishment_2)</f>
        <v/>
      </c>
      <c r="G40" s="142" t="str">
        <f>IF(ISBLANK('Control Entry'!J21),"",'Control Entry'!J21)</f>
        <v/>
      </c>
      <c r="H40" s="143"/>
      <c r="I40" s="144"/>
      <c r="J40" s="108"/>
    </row>
    <row r="41" spans="2:10" ht="40" customHeight="1" thickBot="1" x14ac:dyDescent="0.3">
      <c r="B41" s="109"/>
      <c r="C41" s="115" t="str">
        <f>Control_7 Open_time</f>
        <v/>
      </c>
      <c r="D41" s="115" t="str">
        <f>Control_7 Close_time</f>
        <v/>
      </c>
      <c r="E41" s="110"/>
      <c r="F41" s="111" t="str">
        <f>IF(ISBLANK(Control_7 Establishment_3),"",Control_7 Establishment_3)</f>
        <v/>
      </c>
      <c r="G41" s="136" t="str">
        <f>IF(ISBLANK('Control Entry'!K21),"",'Control Entry'!K21)</f>
        <v/>
      </c>
      <c r="H41" s="137"/>
      <c r="I41" s="138"/>
      <c r="J41" s="112"/>
    </row>
    <row r="42" spans="2:10" ht="40" customHeight="1" x14ac:dyDescent="0.25">
      <c r="B42" s="102"/>
      <c r="C42" s="114" t="str">
        <f>Control_8 Open_time</f>
        <v/>
      </c>
      <c r="D42" s="114" t="str">
        <f>Control_8 Close_time</f>
        <v/>
      </c>
      <c r="E42" s="113"/>
      <c r="F42" s="104" t="str">
        <f>IF(ISBLANK(Control_8 Establishment_1),"",Control_8 Establishment_1)</f>
        <v/>
      </c>
      <c r="G42" s="139" t="str">
        <f>IF(ISBLANK('Control Entry'!I22),"",'Control Entry'!I22)</f>
        <v/>
      </c>
      <c r="H42" s="140"/>
      <c r="I42" s="141"/>
      <c r="J42" s="105"/>
    </row>
    <row r="43" spans="2:10" ht="40" customHeight="1" x14ac:dyDescent="0.25">
      <c r="B43" s="106" t="str">
        <f>IF(ISBLANK(Distance Control_8),"",Control_8 Distance)</f>
        <v/>
      </c>
      <c r="C43" s="107" t="str">
        <f>Control_8 Open_time</f>
        <v/>
      </c>
      <c r="D43" s="107" t="str">
        <f>Control_8 Close_time</f>
        <v/>
      </c>
      <c r="E43" s="104" t="str">
        <f>IF(ISBLANK(Locale Control_8),"",Locale Control_8)</f>
        <v/>
      </c>
      <c r="F43" s="104" t="str">
        <f>IF(ISBLANK(Control_8 Establishment_2),"",Control_8 Establishment_2)</f>
        <v/>
      </c>
      <c r="G43" s="142" t="str">
        <f>IF(ISBLANK('Control Entry'!J22),"",'Control Entry'!J22)</f>
        <v/>
      </c>
      <c r="H43" s="143"/>
      <c r="I43" s="144"/>
      <c r="J43" s="108"/>
    </row>
    <row r="44" spans="2:10" ht="40" customHeight="1" thickBot="1" x14ac:dyDescent="0.3">
      <c r="B44" s="109"/>
      <c r="C44" s="115" t="str">
        <f>Control_8 Open_time</f>
        <v/>
      </c>
      <c r="D44" s="115" t="str">
        <f>Control_8 Close_time</f>
        <v/>
      </c>
      <c r="E44" s="110"/>
      <c r="F44" s="111" t="str">
        <f>IF(ISBLANK(Control_8 Establishment_3),"",Control_8 Establishment_3)</f>
        <v/>
      </c>
      <c r="G44" s="136" t="str">
        <f>IF(ISBLANK('Control Entry'!K22),"",'Control Entry'!K22)</f>
        <v/>
      </c>
      <c r="H44" s="137"/>
      <c r="I44" s="138"/>
      <c r="J44" s="112"/>
    </row>
    <row r="45" spans="2:10" ht="40" customHeight="1" x14ac:dyDescent="0.25">
      <c r="B45" s="102"/>
      <c r="C45" s="114" t="str">
        <f>Control_9 Open_time</f>
        <v/>
      </c>
      <c r="D45" s="114" t="str">
        <f>Control_9 Close_time</f>
        <v/>
      </c>
      <c r="E45" s="113"/>
      <c r="F45" s="104" t="str">
        <f>IF(ISBLANK(Control_9 Establishment_1),"",Control_9 Establishment_1)</f>
        <v/>
      </c>
      <c r="G45" s="139" t="str">
        <f>IF(ISBLANK('Control Entry'!I23),"",'Control Entry'!I23)</f>
        <v/>
      </c>
      <c r="H45" s="140"/>
      <c r="I45" s="141"/>
      <c r="J45" s="105"/>
    </row>
    <row r="46" spans="2:10" ht="40" customHeight="1" x14ac:dyDescent="0.25">
      <c r="B46" s="106" t="str">
        <f>IF(ISBLANK(Distance Control_9),"",Control_9 Distance)</f>
        <v/>
      </c>
      <c r="C46" s="107" t="str">
        <f>Control_9 Open_time</f>
        <v/>
      </c>
      <c r="D46" s="107" t="str">
        <f>Control_9 Close_time</f>
        <v/>
      </c>
      <c r="E46" s="104" t="str">
        <f>IF(ISBLANK(Locale Control_9),"",Locale Control_9)</f>
        <v/>
      </c>
      <c r="F46" s="104" t="str">
        <f>IF(ISBLANK(Control_9 Establishment_2),"",Control_9 Establishment_2)</f>
        <v/>
      </c>
      <c r="G46" s="142" t="str">
        <f>IF(ISBLANK('Control Entry'!J23),"",'Control Entry'!J23)</f>
        <v/>
      </c>
      <c r="H46" s="143"/>
      <c r="I46" s="144"/>
      <c r="J46" s="108"/>
    </row>
    <row r="47" spans="2:10" ht="40" customHeight="1" thickBot="1" x14ac:dyDescent="0.3">
      <c r="B47" s="109"/>
      <c r="C47" s="115" t="str">
        <f>Control_9 Open_time</f>
        <v/>
      </c>
      <c r="D47" s="115" t="str">
        <f>Control_9 Close_time</f>
        <v/>
      </c>
      <c r="E47" s="110"/>
      <c r="F47" s="111" t="str">
        <f>IF(ISBLANK(Control_9 Establishment_3),"",Control_9 Establishment_3)</f>
        <v/>
      </c>
      <c r="G47" s="136" t="str">
        <f>IF(ISBLANK('Control Entry'!K23),"",'Control Entry'!K23)</f>
        <v/>
      </c>
      <c r="H47" s="137"/>
      <c r="I47" s="138"/>
      <c r="J47" s="112"/>
    </row>
    <row r="48" spans="2:10" ht="40" customHeight="1" x14ac:dyDescent="0.25">
      <c r="B48" s="102"/>
      <c r="C48" s="114" t="str">
        <f>Control_10 Open_time</f>
        <v/>
      </c>
      <c r="D48" s="114" t="str">
        <f>Control_10 Close_time</f>
        <v/>
      </c>
      <c r="E48" s="113"/>
      <c r="F48" s="104" t="str">
        <f>IF(ISBLANK(Control_10 Establishment_1),"",Control_10 Establishment_1)</f>
        <v/>
      </c>
      <c r="G48" s="139" t="str">
        <f>IF(ISBLANK('Control Entry'!I24),"",'Control Entry'!I24)</f>
        <v/>
      </c>
      <c r="H48" s="140"/>
      <c r="I48" s="141"/>
      <c r="J48" s="105"/>
    </row>
    <row r="49" spans="2:11" ht="40" customHeight="1" x14ac:dyDescent="0.25">
      <c r="B49" s="106" t="str">
        <f>IF(ISBLANK(Distance Control_10),"",Control_10 Distance)</f>
        <v/>
      </c>
      <c r="C49" s="107" t="str">
        <f>Control_10 Open_time</f>
        <v/>
      </c>
      <c r="D49" s="107" t="str">
        <f>Control_10 Close_time</f>
        <v/>
      </c>
      <c r="E49" s="104" t="str">
        <f>IF(ISBLANK(Locale Control_10),"",Locale Control_10)</f>
        <v/>
      </c>
      <c r="F49" s="104" t="str">
        <f>IF(ISBLANK(Control_10 Establishment_2),"",Control_10 Establishment_2)</f>
        <v/>
      </c>
      <c r="G49" s="142" t="str">
        <f>IF(ISBLANK('Control Entry'!J24),"",'Control Entry'!J24)</f>
        <v/>
      </c>
      <c r="H49" s="143"/>
      <c r="I49" s="144"/>
      <c r="J49" s="108"/>
    </row>
    <row r="50" spans="2:11" ht="40" customHeight="1" thickBot="1" x14ac:dyDescent="0.3">
      <c r="B50" s="109"/>
      <c r="C50" s="115" t="str">
        <f>Control_10 Open_time</f>
        <v/>
      </c>
      <c r="D50" s="115" t="str">
        <f>Control_10 Close_time</f>
        <v/>
      </c>
      <c r="E50" s="110"/>
      <c r="F50" s="111" t="str">
        <f>IF(ISBLANK(Control_10 Establishment_3),"",Control_10 Establishment_3)</f>
        <v/>
      </c>
      <c r="G50" s="136" t="str">
        <f>IF(ISBLANK('Control Entry'!K24),"",'Control Entry'!K24)</f>
        <v/>
      </c>
      <c r="H50" s="137"/>
      <c r="I50" s="138"/>
      <c r="J50" s="112"/>
    </row>
    <row r="52" spans="2:11" ht="24" customHeight="1" x14ac:dyDescent="0.15">
      <c r="B52" s="154" t="s">
        <v>30</v>
      </c>
      <c r="C52" s="154"/>
      <c r="D52" s="154"/>
      <c r="E52" s="154"/>
      <c r="F52" s="154"/>
      <c r="I52" s="66" t="s">
        <v>57</v>
      </c>
      <c r="J52" s="94" t="str">
        <f>IF(ISBLANK('Control Entry'!F10),"",'Control Entry'!F10)</f>
        <v>‭+1 (250) 588-0021‬</v>
      </c>
      <c r="K52" s="62"/>
    </row>
    <row r="54" spans="2:11" x14ac:dyDescent="0.15">
      <c r="B54" s="89" t="s">
        <v>60</v>
      </c>
      <c r="C54" s="90">
        <f>'Control Entry'!B3</f>
        <v>45167</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52"/>
      <c r="G57" s="153"/>
      <c r="H57" s="153"/>
      <c r="I57" s="153"/>
      <c r="J57" s="153"/>
    </row>
  </sheetData>
  <mergeCells count="50">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 ref="G47:I47"/>
    <mergeCell ref="G20:I20"/>
    <mergeCell ref="D12:E12"/>
    <mergeCell ref="D14:E14"/>
    <mergeCell ref="G27:I27"/>
    <mergeCell ref="G28:I28"/>
    <mergeCell ref="G26:I26"/>
    <mergeCell ref="C17:F17"/>
    <mergeCell ref="G37:I37"/>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C2:F2"/>
    <mergeCell ref="B19:J19"/>
    <mergeCell ref="B10:C10"/>
    <mergeCell ref="E10:G10"/>
    <mergeCell ref="C7:F8"/>
    <mergeCell ref="H7:H8"/>
    <mergeCell ref="E5:H6"/>
    <mergeCell ref="E3:H3"/>
    <mergeCell ref="E4:H4"/>
  </mergeCells>
  <printOptions horizontalCentered="1" verticalCentered="1"/>
  <pageMargins left="0.39370078740157483" right="0.39370078740157483" top="0.39370078740157483" bottom="0.39370078740157483" header="0.15748031496062992" footer="0.15748031496062992"/>
  <pageSetup scale="37"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Control Entry</vt:lpstr>
      <vt:lpstr>Card #1</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'Card #1'!Print_Area</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2023-08-24T23:38:36Z</cp:lastPrinted>
  <dcterms:created xsi:type="dcterms:W3CDTF">1997-11-12T04:43:39Z</dcterms:created>
  <dcterms:modified xsi:type="dcterms:W3CDTF">2024-03-12T02:50:04Z</dcterms:modified>
</cp:coreProperties>
</file>