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811"/>
  <workbookPr showInkAnnotation="0" autoCompressPictures="0"/>
  <mc:AlternateContent xmlns:mc="http://schemas.openxmlformats.org/markup-compatibility/2006">
    <mc:Choice Requires="x15">
      <x15ac:absPath xmlns:x15ac="http://schemas.microsoft.com/office/spreadsheetml/2010/11/ac" url="/Users/stephencarol/Documents/BCR/2024/5413 CVCC/"/>
    </mc:Choice>
  </mc:AlternateContent>
  <xr:revisionPtr revIDLastSave="0" documentId="13_ncr:1_{9C28A1FD-575B-D144-B685-99F65131C033}" xr6:coauthVersionLast="47" xr6:coauthVersionMax="47" xr10:uidLastSave="{00000000-0000-0000-0000-000000000000}"/>
  <bookViews>
    <workbookView xWindow="0" yWindow="760" windowWidth="29400" windowHeight="18360" tabRatio="509" xr2:uid="{00000000-000D-0000-FFFF-FFFF00000000}"/>
  </bookViews>
  <sheets>
    <sheet name="Control Entry" sheetId="1" r:id="rId1"/>
    <sheet name="Card #1" sheetId="7" r:id="rId2"/>
    <sheet name="Card #2" sheetId="8" r:id="rId3"/>
  </sheets>
  <definedNames>
    <definedName name="Address_1" localSheetId="1">#REF!</definedName>
    <definedName name="Address_1" localSheetId="2">#REF!</definedName>
    <definedName name="Address_1">#REF!</definedName>
    <definedName name="Address_2" localSheetId="1">#REF!</definedName>
    <definedName name="Address_2" localSheetId="2">#REF!</definedName>
    <definedName name="Address_2">#REF!</definedName>
    <definedName name="brevet">'Control Entry'!$C$6</definedName>
    <definedName name="Brevet_Description">'Control Entry'!$B$8</definedName>
    <definedName name="Brevet_Length">'Control Entry'!$B$6</definedName>
    <definedName name="Brevet_Number">'Control Entry'!$B$9</definedName>
    <definedName name="City" localSheetId="1">#REF!</definedName>
    <definedName name="City" localSheetId="2">#REF!</definedName>
    <definedName name="City">#REF!</definedName>
    <definedName name="Close">'Control Entry'!$M$15:$M$24</definedName>
    <definedName name="Close_time">'Control Entry'!$O$15:$O$24</definedName>
    <definedName name="Control_1">'Control Entry'!$D$15:$O$15</definedName>
    <definedName name="Control_10">'Control Entry'!$D$24:$O$24</definedName>
    <definedName name="Control_11" localSheetId="1">'Control Entry'!#REF!</definedName>
    <definedName name="Control_11" localSheetId="2">'Control Entry'!#REF!</definedName>
    <definedName name="Control_11">'Control Entry'!#REF!</definedName>
    <definedName name="Control_12" localSheetId="1">'Control Entry'!#REF!</definedName>
    <definedName name="Control_12" localSheetId="2">'Control Entry'!#REF!</definedName>
    <definedName name="Control_12">'Control Entry'!#REF!</definedName>
    <definedName name="Control_13" localSheetId="1">'Control Entry'!#REF!</definedName>
    <definedName name="Control_13" localSheetId="2">'Control Entry'!#REF!</definedName>
    <definedName name="Control_13">'Control Entry'!#REF!</definedName>
    <definedName name="Control_14" localSheetId="1">'Control Entry'!#REF!</definedName>
    <definedName name="Control_14" localSheetId="2">'Control Entry'!#REF!</definedName>
    <definedName name="Control_14">'Control Entry'!#REF!</definedName>
    <definedName name="Control_15" localSheetId="1">'Control Entry'!#REF!</definedName>
    <definedName name="Control_15" localSheetId="2">'Control Entry'!#REF!</definedName>
    <definedName name="Control_15">'Control Entry'!#REF!</definedName>
    <definedName name="Control_16" localSheetId="1">'Control Entry'!#REF!</definedName>
    <definedName name="Control_16" localSheetId="2">'Control Entry'!#REF!</definedName>
    <definedName name="Control_16">'Control Entry'!#REF!</definedName>
    <definedName name="Control_17" localSheetId="1">'Control Entry'!#REF!</definedName>
    <definedName name="Control_17" localSheetId="2">'Control Entry'!#REF!</definedName>
    <definedName name="Control_17">'Control Entry'!#REF!</definedName>
    <definedName name="Control_18" localSheetId="1">'Control Entry'!#REF!</definedName>
    <definedName name="Control_18" localSheetId="2">'Control Entry'!#REF!</definedName>
    <definedName name="Control_18">'Control Entry'!#REF!</definedName>
    <definedName name="Control_19" localSheetId="1">'Control Entry'!#REF!</definedName>
    <definedName name="Control_19" localSheetId="2">'Control Entry'!#REF!</definedName>
    <definedName name="Control_19">'Control Entry'!#REF!</definedName>
    <definedName name="Control_2">'Control Entry'!$D$16:$O$16</definedName>
    <definedName name="Control_20" localSheetId="1">'Control Entry'!#REF!</definedName>
    <definedName name="Control_20" localSheetId="2">'Control Entry'!#REF!</definedName>
    <definedName name="Control_20">'Control Entry'!#REF!</definedName>
    <definedName name="Control_3">'Control Entry'!$D$17:$O$17</definedName>
    <definedName name="Control_4">'Control Entry'!$D$18:$O$18</definedName>
    <definedName name="Control_5">'Control Entry'!$D$19:$O$19</definedName>
    <definedName name="Control_6">'Control Entry'!$D$20:$O$20</definedName>
    <definedName name="Control_7">'Control Entry'!$D$21:$O$21</definedName>
    <definedName name="Control_8">'Control Entry'!$D$22:$O$22</definedName>
    <definedName name="Control_9">'Control Entry'!$D$23:$O$23</definedName>
    <definedName name="Country" localSheetId="1">#REF!</definedName>
    <definedName name="Country" localSheetId="2">#REF!</definedName>
    <definedName name="Country">#REF!</definedName>
    <definedName name="Distance">'Control Entry'!$D$15:$D$24</definedName>
    <definedName name="email" localSheetId="1">#REF!</definedName>
    <definedName name="email" localSheetId="2">#REF!</definedName>
    <definedName name="email">#REF!</definedName>
    <definedName name="Establishment_1">'Control Entry'!$F$15:$F$24</definedName>
    <definedName name="Establishment_2">'Control Entry'!$G$15:$G$24</definedName>
    <definedName name="Establishment_3">'Control Entry'!$H$15:$H$24</definedName>
    <definedName name="Fax" localSheetId="1">#REF!</definedName>
    <definedName name="Fax" localSheetId="2">#REF!</definedName>
    <definedName name="Fax">#REF!</definedName>
    <definedName name="First_Name" localSheetId="1">#REF!</definedName>
    <definedName name="First_Name" localSheetId="2">#REF!</definedName>
    <definedName name="First_Name">#REF!</definedName>
    <definedName name="Home_telephone" localSheetId="1">#REF!</definedName>
    <definedName name="Home_telephone" localSheetId="2">#REF!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1">#REF!</definedName>
    <definedName name="Initial" localSheetId="2">#REF!</definedName>
    <definedName name="Initial">#REF!</definedName>
    <definedName name="Locale">'Control Entry'!$E$15:$E$24</definedName>
    <definedName name="Max_time">'Control Entry'!$B$7</definedName>
    <definedName name="Open">'Control Entry'!$L$15:$L$24</definedName>
    <definedName name="Open_time">'Control Entry'!$N$15:$N$24</definedName>
    <definedName name="Postal_Code" localSheetId="1">#REF!</definedName>
    <definedName name="Postal_Code" localSheetId="2">#REF!</definedName>
    <definedName name="Postal_Code">#REF!</definedName>
    <definedName name="_xlnm.Print_Area" localSheetId="1">'Card #1'!$A$1:$K$55</definedName>
    <definedName name="_xlnm.Print_Area" localSheetId="2">'Card #2'!$A$1:$K$55</definedName>
    <definedName name="Province_State" localSheetId="1">#REF!</definedName>
    <definedName name="Province_State" localSheetId="2">#REF!</definedName>
    <definedName name="Province_State">#REF!</definedName>
    <definedName name="Start_date">'Control Entry'!$B$12</definedName>
    <definedName name="Start_time">'Control Entry'!$B$13</definedName>
    <definedName name="surname" localSheetId="1">#REF!</definedName>
    <definedName name="surname" localSheetId="2">#REF!</definedName>
    <definedName name="surname">#REF!</definedName>
    <definedName name="Work_telephone" localSheetId="1">#REF!</definedName>
    <definedName name="Work_telephone" localSheetId="2">#REF!</definedName>
    <definedName name="Work_telephon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50" i="8" l="1"/>
  <c r="G49" i="8"/>
  <c r="G48" i="8"/>
  <c r="F50" i="8"/>
  <c r="F49" i="8"/>
  <c r="F48" i="8"/>
  <c r="E49" i="8"/>
  <c r="B49" i="8"/>
  <c r="G47" i="8"/>
  <c r="G46" i="8"/>
  <c r="G45" i="8"/>
  <c r="F47" i="8"/>
  <c r="F46" i="8"/>
  <c r="F45" i="8"/>
  <c r="E46" i="8"/>
  <c r="B46" i="8"/>
  <c r="G44" i="8"/>
  <c r="G43" i="8"/>
  <c r="G42" i="8"/>
  <c r="F44" i="8"/>
  <c r="F43" i="8"/>
  <c r="F42" i="8"/>
  <c r="E43" i="8"/>
  <c r="B43" i="8"/>
  <c r="G41" i="8"/>
  <c r="G40" i="8"/>
  <c r="G39" i="8"/>
  <c r="F41" i="8"/>
  <c r="F40" i="8"/>
  <c r="F39" i="8"/>
  <c r="E40" i="8"/>
  <c r="B40" i="8"/>
  <c r="G38" i="8"/>
  <c r="G37" i="8"/>
  <c r="G36" i="8"/>
  <c r="F38" i="8"/>
  <c r="F37" i="8"/>
  <c r="F36" i="8"/>
  <c r="E37" i="8"/>
  <c r="B37" i="8"/>
  <c r="G35" i="8"/>
  <c r="G34" i="8"/>
  <c r="G33" i="8"/>
  <c r="F35" i="8"/>
  <c r="F34" i="8"/>
  <c r="F33" i="8"/>
  <c r="E34" i="8"/>
  <c r="B34" i="8"/>
  <c r="G32" i="8"/>
  <c r="G31" i="8"/>
  <c r="G30" i="8"/>
  <c r="F32" i="8"/>
  <c r="F31" i="8"/>
  <c r="F30" i="8"/>
  <c r="E31" i="8"/>
  <c r="B31" i="8"/>
  <c r="G29" i="8"/>
  <c r="G28" i="8"/>
  <c r="G26" i="8"/>
  <c r="G25" i="8"/>
  <c r="G27" i="8"/>
  <c r="F29" i="8"/>
  <c r="F28" i="8"/>
  <c r="F27" i="8"/>
  <c r="E28" i="8"/>
  <c r="B28" i="8"/>
  <c r="G24" i="8"/>
  <c r="F26" i="8"/>
  <c r="F25" i="8"/>
  <c r="F24" i="8"/>
  <c r="E25" i="8"/>
  <c r="B25" i="8"/>
  <c r="B22" i="8"/>
  <c r="G23" i="8"/>
  <c r="G22" i="8"/>
  <c r="G21" i="8"/>
  <c r="F23" i="8"/>
  <c r="F22" i="8"/>
  <c r="F21" i="8"/>
  <c r="E22" i="8"/>
  <c r="C54" i="8"/>
  <c r="J52" i="8"/>
  <c r="I12" i="8"/>
  <c r="F12" i="8"/>
  <c r="E5" i="8"/>
  <c r="E4" i="8"/>
  <c r="J3" i="8"/>
  <c r="J2" i="8"/>
  <c r="M37" i="1"/>
  <c r="O37" i="1" s="1"/>
  <c r="D49" i="8" s="1"/>
  <c r="L37" i="1"/>
  <c r="N37" i="1" s="1"/>
  <c r="C48" i="8" s="1"/>
  <c r="N36" i="1"/>
  <c r="C47" i="8" s="1"/>
  <c r="M36" i="1"/>
  <c r="O36" i="1" s="1"/>
  <c r="D47" i="8" s="1"/>
  <c r="L36" i="1"/>
  <c r="N35" i="1"/>
  <c r="C42" i="8" s="1"/>
  <c r="M35" i="1"/>
  <c r="O35" i="1" s="1"/>
  <c r="D43" i="8" s="1"/>
  <c r="L35" i="1"/>
  <c r="N34" i="1"/>
  <c r="C41" i="8" s="1"/>
  <c r="M34" i="1"/>
  <c r="O34" i="1" s="1"/>
  <c r="D41" i="8" s="1"/>
  <c r="L34" i="1"/>
  <c r="N33" i="1"/>
  <c r="C36" i="8" s="1"/>
  <c r="M33" i="1"/>
  <c r="O33" i="1" s="1"/>
  <c r="D37" i="8" s="1"/>
  <c r="L33" i="1"/>
  <c r="N32" i="1"/>
  <c r="C35" i="8" s="1"/>
  <c r="M32" i="1"/>
  <c r="O32" i="1" s="1"/>
  <c r="D35" i="8" s="1"/>
  <c r="L32" i="1"/>
  <c r="M31" i="1"/>
  <c r="O31" i="1" s="1"/>
  <c r="D31" i="8" s="1"/>
  <c r="L31" i="1"/>
  <c r="N31" i="1" s="1"/>
  <c r="C30" i="8" s="1"/>
  <c r="M30" i="1"/>
  <c r="O30" i="1" s="1"/>
  <c r="D28" i="8" s="1"/>
  <c r="L30" i="1"/>
  <c r="N30" i="1" s="1"/>
  <c r="C27" i="8" s="1"/>
  <c r="O29" i="1"/>
  <c r="D25" i="8" s="1"/>
  <c r="M29" i="1"/>
  <c r="L29" i="1"/>
  <c r="N29" i="1" s="1"/>
  <c r="C24" i="8" s="1"/>
  <c r="M28" i="1"/>
  <c r="L28" i="1"/>
  <c r="D50" i="8" l="1"/>
  <c r="C31" i="8"/>
  <c r="D44" i="8"/>
  <c r="D39" i="8"/>
  <c r="C43" i="8"/>
  <c r="C28" i="8"/>
  <c r="D32" i="8"/>
  <c r="D26" i="8"/>
  <c r="D38" i="8"/>
  <c r="C49" i="8"/>
  <c r="C25" i="8"/>
  <c r="D29" i="8"/>
  <c r="D33" i="8"/>
  <c r="C37" i="8"/>
  <c r="D45" i="8"/>
  <c r="C26" i="8"/>
  <c r="C29" i="8"/>
  <c r="C32" i="8"/>
  <c r="C33" i="8"/>
  <c r="D34" i="8"/>
  <c r="C38" i="8"/>
  <c r="C39" i="8"/>
  <c r="D40" i="8"/>
  <c r="C44" i="8"/>
  <c r="C45" i="8"/>
  <c r="D46" i="8"/>
  <c r="C50" i="8"/>
  <c r="D24" i="8"/>
  <c r="D27" i="8"/>
  <c r="D30" i="8"/>
  <c r="C34" i="8"/>
  <c r="D36" i="8"/>
  <c r="C40" i="8"/>
  <c r="D42" i="8"/>
  <c r="C46" i="8"/>
  <c r="D48" i="8"/>
  <c r="L7" i="1"/>
  <c r="E5" i="7" l="1"/>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F50" i="7"/>
  <c r="F49" i="7"/>
  <c r="E49" i="7"/>
  <c r="B49" i="7"/>
  <c r="F48" i="7"/>
  <c r="F47" i="7"/>
  <c r="F46" i="7"/>
  <c r="E46" i="7"/>
  <c r="B46" i="7"/>
  <c r="F45" i="7"/>
  <c r="F44" i="7"/>
  <c r="F43" i="7"/>
  <c r="E43" i="7"/>
  <c r="B43" i="7"/>
  <c r="F42" i="7"/>
  <c r="F41" i="7"/>
  <c r="F40" i="7"/>
  <c r="E40" i="7"/>
  <c r="B40" i="7"/>
  <c r="F39" i="7"/>
  <c r="F38" i="7"/>
  <c r="F37" i="7"/>
  <c r="E37" i="7"/>
  <c r="B37" i="7"/>
  <c r="F36" i="7"/>
  <c r="F35" i="7"/>
  <c r="F34" i="7"/>
  <c r="E34" i="7"/>
  <c r="B34" i="7"/>
  <c r="F33" i="7"/>
  <c r="F32" i="7"/>
  <c r="F31" i="7"/>
  <c r="E31" i="7"/>
  <c r="B31" i="7"/>
  <c r="F30" i="7"/>
  <c r="F29" i="7"/>
  <c r="F28" i="7"/>
  <c r="E28" i="7"/>
  <c r="B28" i="7"/>
  <c r="F27" i="7"/>
  <c r="F26" i="7"/>
  <c r="F25" i="7"/>
  <c r="E25" i="7"/>
  <c r="B25" i="7"/>
  <c r="F24" i="7"/>
  <c r="F23" i="7"/>
  <c r="F22" i="7"/>
  <c r="E22" i="7"/>
  <c r="B22" i="7"/>
  <c r="F21" i="7"/>
  <c r="J52" i="7" l="1"/>
  <c r="I12" i="7"/>
  <c r="F12" i="7"/>
  <c r="J2" i="7"/>
  <c r="C54" i="7"/>
  <c r="J3" i="7"/>
  <c r="E4" i="7" l="1"/>
  <c r="L15" i="1" l="1"/>
  <c r="N15" i="1" s="1"/>
  <c r="C6" i="1"/>
  <c r="L24" i="1"/>
  <c r="L23" i="1"/>
  <c r="L22" i="1"/>
  <c r="L21" i="1"/>
  <c r="L20" i="1"/>
  <c r="L19" i="1"/>
  <c r="L18" i="1"/>
  <c r="L17" i="1"/>
  <c r="L16" i="1"/>
  <c r="N28" i="1" l="1"/>
  <c r="O28" i="1"/>
  <c r="M16" i="1"/>
  <c r="C22" i="7"/>
  <c r="C23" i="7"/>
  <c r="C21" i="7"/>
  <c r="B7" i="1"/>
  <c r="M21" i="1" s="1"/>
  <c r="O21" i="1" s="1"/>
  <c r="O16" i="1"/>
  <c r="M19" i="1"/>
  <c r="O19" i="1" s="1"/>
  <c r="M18" i="1"/>
  <c r="O18" i="1" s="1"/>
  <c r="M17" i="1"/>
  <c r="O17" i="1" s="1"/>
  <c r="M15" i="1"/>
  <c r="O15" i="1" s="1"/>
  <c r="N18" i="1"/>
  <c r="N22" i="1"/>
  <c r="N17" i="1"/>
  <c r="N21" i="1"/>
  <c r="N24" i="1"/>
  <c r="N16" i="1"/>
  <c r="N20" i="1"/>
  <c r="N19" i="1"/>
  <c r="N23" i="1"/>
  <c r="C21" i="8" l="1"/>
  <c r="C23" i="8"/>
  <c r="C22" i="8"/>
  <c r="D21" i="8"/>
  <c r="D22" i="8"/>
  <c r="D23" i="8"/>
  <c r="M24" i="1"/>
  <c r="O24" i="1" s="1"/>
  <c r="M23" i="1"/>
  <c r="O23" i="1" s="1"/>
  <c r="M20" i="1"/>
  <c r="O20" i="1" s="1"/>
  <c r="M22" i="1"/>
  <c r="O22" i="1" s="1"/>
  <c r="D29" i="7"/>
  <c r="D28" i="7"/>
  <c r="D27" i="7"/>
  <c r="C26" i="7"/>
  <c r="C25" i="7"/>
  <c r="C24" i="7"/>
  <c r="D26" i="7"/>
  <c r="D24" i="7"/>
  <c r="D25" i="7"/>
  <c r="C47" i="7"/>
  <c r="C45" i="7"/>
  <c r="C46" i="7"/>
  <c r="D41" i="7"/>
  <c r="D40" i="7"/>
  <c r="D39" i="7"/>
  <c r="C39" i="7"/>
  <c r="C41" i="7"/>
  <c r="C40" i="7"/>
  <c r="C43" i="7"/>
  <c r="C42" i="7"/>
  <c r="C44" i="7"/>
  <c r="C31" i="7"/>
  <c r="C32" i="7"/>
  <c r="C30" i="7"/>
  <c r="D23" i="7"/>
  <c r="D21" i="7"/>
  <c r="D22" i="7"/>
  <c r="C50" i="7"/>
  <c r="C49" i="7"/>
  <c r="C48" i="7"/>
  <c r="C35" i="7"/>
  <c r="C33" i="7"/>
  <c r="C34" i="7"/>
  <c r="C38" i="7"/>
  <c r="C37" i="7"/>
  <c r="C36" i="7"/>
  <c r="C29" i="7"/>
  <c r="C27" i="7"/>
  <c r="C28" i="7"/>
  <c r="D35" i="7"/>
  <c r="D33" i="7"/>
  <c r="D34" i="7"/>
  <c r="D31" i="7"/>
  <c r="D32" i="7"/>
  <c r="D30" i="7"/>
  <c r="D37" i="7" l="1"/>
  <c r="D47" i="7"/>
  <c r="D50" i="7"/>
  <c r="D44" i="7"/>
  <c r="D48" i="7"/>
  <c r="D49" i="7"/>
  <c r="D38" i="7"/>
  <c r="D36" i="7"/>
  <c r="D42" i="7"/>
  <c r="D46" i="7"/>
  <c r="D45" i="7"/>
  <c r="D4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 Hinde</author>
    <author>A satisfied Microsoft Office user</author>
  </authors>
  <commentList>
    <comment ref="B4" authorId="0" shapeId="0" xr:uid="{4563209B-AACD-704D-A715-734D9228E28F}">
      <text>
        <r>
          <rPr>
            <b/>
            <sz val="10"/>
            <color rgb="FF000000"/>
            <rFont val="Tahoma"/>
            <family val="2"/>
          </rPr>
          <t>Stephen Hinde:</t>
        </r>
        <r>
          <rPr>
            <sz val="10"/>
            <color rgb="FF000000"/>
            <rFont val="Tahoma"/>
            <family val="2"/>
          </rPr>
          <t xml:space="preserve">Revision date of the brevet details on this sheet
</t>
        </r>
        <r>
          <rPr>
            <sz val="10"/>
            <color rgb="FF000000"/>
            <rFont val="Tahoma"/>
            <family val="2"/>
          </rPr>
          <t>Date format:  ddmmmyy eg 05may24</t>
        </r>
      </text>
    </comment>
    <comment ref="B6" authorId="0" shapeId="0" xr:uid="{00000000-0006-0000-0000-00000100000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1200, 1000, 600, 400, 300, 200, 150, 100, 50, 25
</t>
        </r>
      </text>
    </comment>
    <comment ref="B7" authorId="1" shapeId="0" xr:uid="{00000000-0006-0000-0000-000002000000}">
      <text>
        <r>
          <rPr>
            <sz val="8"/>
            <color rgb="FF000000"/>
            <rFont val="Tahoma"/>
            <family val="2"/>
          </rPr>
          <t>Autocalculated based on ACP specified times</t>
        </r>
      </text>
    </comment>
    <comment ref="B8" authorId="0" shapeId="0" xr:uid="{3C1C451D-6AE0-F242-A53A-80693F934BEF}">
      <text>
        <r>
          <rPr>
            <b/>
            <sz val="10"/>
            <color rgb="FF000000"/>
            <rFont val="Tahoma"/>
            <family val="2"/>
          </rPr>
          <t>Stephen Hinde:</t>
        </r>
        <r>
          <rPr>
            <sz val="10"/>
            <color rgb="FF000000"/>
            <rFont val="Tahoma"/>
            <family val="2"/>
          </rPr>
          <t xml:space="preserve">
</t>
        </r>
        <r>
          <rPr>
            <sz val="10"/>
            <color rgb="FF000000"/>
            <rFont val="Tahoma"/>
            <family val="2"/>
          </rPr>
          <t xml:space="preserve">Name of event
</t>
        </r>
      </text>
    </comment>
    <comment ref="B9" authorId="0" shapeId="0" xr:uid="{00000000-0006-0000-0000-00000300000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10" authorId="0" shapeId="0" xr:uid="{00000000-0006-0000-0000-00000400000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F10" authorId="0" shapeId="0" xr:uid="{C2700BB7-AC40-4846-9773-3956CB914942}">
      <text>
        <r>
          <rPr>
            <b/>
            <sz val="10"/>
            <color rgb="FF000000"/>
            <rFont val="Tahoma"/>
            <family val="2"/>
          </rPr>
          <t>Stephen Hinde:</t>
        </r>
        <r>
          <rPr>
            <sz val="10"/>
            <color rgb="FF000000"/>
            <rFont val="Tahoma"/>
            <family val="2"/>
          </rPr>
          <t xml:space="preserve">
</t>
        </r>
        <r>
          <rPr>
            <sz val="10"/>
            <color rgb="FF000000"/>
            <rFont val="Tahoma"/>
            <family val="2"/>
          </rPr>
          <t xml:space="preserve">Optional.  </t>
        </r>
      </text>
    </comment>
    <comment ref="B12" authorId="0" shapeId="0" xr:uid="{23558CA1-4512-6144-8D64-23E7C0C33489}">
      <text>
        <r>
          <rPr>
            <b/>
            <sz val="10"/>
            <color rgb="FF000000"/>
            <rFont val="Tahoma"/>
            <family val="2"/>
          </rPr>
          <t>Stephen Hinde:</t>
        </r>
        <r>
          <rPr>
            <sz val="10"/>
            <color rgb="FF000000"/>
            <rFont val="Tahoma"/>
            <family val="2"/>
          </rPr>
          <t xml:space="preserve">
</t>
        </r>
        <r>
          <rPr>
            <sz val="10"/>
            <color rgb="FF000000"/>
            <rFont val="Tahoma"/>
            <family val="2"/>
          </rPr>
          <t xml:space="preserve">Ride date
</t>
        </r>
        <r>
          <rPr>
            <sz val="10"/>
            <color rgb="FF000000"/>
            <rFont val="Tahoma"/>
            <family val="2"/>
          </rPr>
          <t xml:space="preserve">format: ddmmmyy
</t>
        </r>
        <r>
          <rPr>
            <sz val="10"/>
            <color rgb="FF000000"/>
            <rFont val="Tahoma"/>
            <family val="2"/>
          </rPr>
          <t>eg 05may24</t>
        </r>
      </text>
    </comment>
    <comment ref="B13" authorId="0" shapeId="0" xr:uid="{B42762EC-1925-AE46-9F2A-7C3A271E16AF}">
      <text>
        <r>
          <rPr>
            <b/>
            <sz val="10"/>
            <color rgb="FF000000"/>
            <rFont val="Tahoma"/>
            <family val="2"/>
          </rPr>
          <t>Stephen Hinde:</t>
        </r>
        <r>
          <rPr>
            <sz val="10"/>
            <color rgb="FF000000"/>
            <rFont val="Tahoma"/>
            <family val="2"/>
          </rPr>
          <t xml:space="preserve">
</t>
        </r>
        <r>
          <rPr>
            <sz val="10"/>
            <color rgb="FF000000"/>
            <rFont val="Tahoma"/>
            <family val="2"/>
          </rPr>
          <t xml:space="preserve">24hr clock format
</t>
        </r>
        <r>
          <rPr>
            <sz val="10"/>
            <color rgb="FF000000"/>
            <rFont val="Tahoma"/>
            <family val="2"/>
          </rPr>
          <t>hh:mm</t>
        </r>
      </text>
    </comment>
    <comment ref="F14" authorId="0" shapeId="0" xr:uid="{E6B5DB4F-63CC-9A4E-B02A-4C28633B0FBD}">
      <text>
        <r>
          <rPr>
            <b/>
            <sz val="10"/>
            <color rgb="FF000000"/>
            <rFont val="Tahoma"/>
            <family val="2"/>
          </rPr>
          <t>Stephen Hinde:</t>
        </r>
        <r>
          <rPr>
            <sz val="10"/>
            <color rgb="FF000000"/>
            <rFont val="Tahoma"/>
            <family val="2"/>
          </rPr>
          <t xml:space="preserve">
</t>
        </r>
        <r>
          <rPr>
            <sz val="10"/>
            <color rgb="FF000000"/>
            <rFont val="Tahoma"/>
            <family val="2"/>
          </rPr>
          <t xml:space="preserve">It is recommended to put the type of control in this space ie 
</t>
        </r>
        <r>
          <rPr>
            <sz val="10"/>
            <color rgb="FF000000"/>
            <rFont val="Tahoma"/>
            <family val="2"/>
          </rPr>
          <t xml:space="preserve">STAFFED
</t>
        </r>
        <r>
          <rPr>
            <sz val="10"/>
            <color rgb="FF000000"/>
            <rFont val="Tahoma"/>
            <family val="2"/>
          </rPr>
          <t xml:space="preserve">BUSINESS INFORMATION
</t>
        </r>
        <r>
          <rPr>
            <sz val="10"/>
            <color rgb="FF000000"/>
            <rFont val="Tahoma"/>
            <family val="2"/>
          </rPr>
          <t>SELF CHECK</t>
        </r>
      </text>
    </comment>
  </commentList>
</comments>
</file>

<file path=xl/sharedStrings.xml><?xml version="1.0" encoding="utf-8"?>
<sst xmlns="http://schemas.openxmlformats.org/spreadsheetml/2006/main" count="165" uniqueCount="113">
  <si>
    <t>Open</t>
  </si>
  <si>
    <t>Close</t>
  </si>
  <si>
    <t>Open time</t>
  </si>
  <si>
    <t>Close time</t>
  </si>
  <si>
    <t>Control 1</t>
  </si>
  <si>
    <t>Control 2</t>
  </si>
  <si>
    <t>Control 3</t>
  </si>
  <si>
    <t>Control 4</t>
  </si>
  <si>
    <t>Control 5</t>
  </si>
  <si>
    <t>Control 6</t>
  </si>
  <si>
    <t>Control 7</t>
  </si>
  <si>
    <t>Control 8</t>
  </si>
  <si>
    <t>Control 9</t>
  </si>
  <si>
    <t>Control 10</t>
  </si>
  <si>
    <t>Rider's signature at completion</t>
  </si>
  <si>
    <t>Brevet Length:</t>
  </si>
  <si>
    <t>Maximum Time:</t>
  </si>
  <si>
    <t>Brevet Description:</t>
  </si>
  <si>
    <t>Brevet Number:</t>
  </si>
  <si>
    <t>Start Date:</t>
  </si>
  <si>
    <t>Start Time:</t>
  </si>
  <si>
    <t>Distance</t>
  </si>
  <si>
    <t>Locale</t>
  </si>
  <si>
    <t>Establishment 1</t>
  </si>
  <si>
    <t>Establishment 2</t>
  </si>
  <si>
    <t>Establishment 3</t>
  </si>
  <si>
    <t>DIST (km)</t>
  </si>
  <si>
    <t>Establishment</t>
  </si>
  <si>
    <t>Time of Passage</t>
  </si>
  <si>
    <t>Control Card</t>
  </si>
  <si>
    <t>Report results or abandonment through registration email link</t>
  </si>
  <si>
    <t>Member #</t>
  </si>
  <si>
    <t>Schedule date:</t>
  </si>
  <si>
    <t>Founding member of LES RANDONNEURS MONDIAUX (1983)</t>
  </si>
  <si>
    <t>Bicycle Type
Circle one</t>
  </si>
  <si>
    <t>-------&gt;</t>
  </si>
  <si>
    <t>Signature/Answer</t>
  </si>
  <si>
    <t>Signature/Answer 1</t>
  </si>
  <si>
    <t>Signature/Answer 2</t>
  </si>
  <si>
    <t>Signature/Answer 3</t>
  </si>
  <si>
    <t>Instructions</t>
  </si>
  <si>
    <t>Fill nominal brevet length.  This is the ACP distance eg 200, 300, 1000</t>
  </si>
  <si>
    <t>Maximum allowable time automatically calculated</t>
  </si>
  <si>
    <t>Enter the brevet name eg 'Remembrance Day Brevet'</t>
  </si>
  <si>
    <t>Enter the brevet number.  This is the BCR database number, and can be found on the event page in the database</t>
  </si>
  <si>
    <t>Enter the schedule date.  This is the official ACP listed date and can be found on the shcedule on the website</t>
  </si>
  <si>
    <t>When using information controls, you can put your question in the Signature/Answer section eg Sig/Ans.1 Sign on main door  Sig/Ans. 2  This week's special is?  Sig/Ans. 3 ________________</t>
  </si>
  <si>
    <t>Control Card #1 Information Control Question (optional)</t>
  </si>
  <si>
    <t>Enter the start time.  This will be the official ACP listed start time found on the event page, unless a ride window has been enabled.</t>
  </si>
  <si>
    <t>Enter the start date.  This will be the same as the schedule date, exceot for pre-rides or unless a ride window has been enabled.</t>
  </si>
  <si>
    <r>
      <t xml:space="preserve">At each control, please </t>
    </r>
    <r>
      <rPr>
        <b/>
        <i/>
        <sz val="16"/>
        <rFont val="Arial"/>
        <family val="2"/>
      </rPr>
      <t>have signed or answer question</t>
    </r>
    <r>
      <rPr>
        <i/>
        <sz val="16"/>
        <rFont val="Arial"/>
        <family val="2"/>
      </rPr>
      <t xml:space="preserve"> and</t>
    </r>
    <r>
      <rPr>
        <b/>
        <i/>
        <sz val="16"/>
        <rFont val="Arial"/>
        <family val="2"/>
      </rPr>
      <t xml:space="preserve"> note time of day</t>
    </r>
  </si>
  <si>
    <t>Control Card #1</t>
  </si>
  <si>
    <t xml:space="preserve">Template Revised:  </t>
  </si>
  <si>
    <t>Scroll right to see further instructions</t>
  </si>
  <si>
    <t xml:space="preserve">Card Revised:  </t>
  </si>
  <si>
    <t>DO NOT MOVE OR DELETE ROWS OR COLUMNS (delete contents of cells only)</t>
  </si>
  <si>
    <t xml:space="preserve">Organizer: </t>
  </si>
  <si>
    <t>Single     Tandem     Fixed     Recumbent     Velomobile</t>
  </si>
  <si>
    <t>Card revised:</t>
  </si>
  <si>
    <t>Template revised:</t>
  </si>
  <si>
    <t>Brevet #</t>
  </si>
  <si>
    <t>Rider:</t>
  </si>
  <si>
    <t>Finish Date:</t>
  </si>
  <si>
    <t>Start time:</t>
  </si>
  <si>
    <t>Finish time:</t>
  </si>
  <si>
    <t>Elapsed time:</t>
  </si>
  <si>
    <t>Organizer phone #</t>
  </si>
  <si>
    <t>Organizer phone number is optional</t>
  </si>
  <si>
    <t>Fill in the Locale (city) for each control.  Establishment 1, 2, and 3 can be used to describe the control itself eg Locale HOPE  Est.1  BUSINESS Est.2 Dairy Queen Est.3 817 Water Ave .  For a secret control, use SECRET as the locale.</t>
  </si>
  <si>
    <t>Control Card #2</t>
  </si>
  <si>
    <t>Control Card #2 Information Control Question (optional)</t>
  </si>
  <si>
    <t>You can create 2control cards  (upto 20 controls) for one event, or 2control cards (up to 10 controls) with different start loctions for a single event.</t>
  </si>
  <si>
    <t>Fill in the control distance.  The opening and closing times will be automatically calculated based on the start time and the brevet distance.  If you need more than 10 controls, or need an alternate start loction, use card #2, otherwise leave that section blank.</t>
  </si>
  <si>
    <t>(circle)</t>
  </si>
  <si>
    <t>STAFFED</t>
  </si>
  <si>
    <t>INFORMATION</t>
  </si>
  <si>
    <t>COURTENAY</t>
  </si>
  <si>
    <t>BUSINESS</t>
  </si>
  <si>
    <t>‭+1 (250) 792-3126‬</t>
  </si>
  <si>
    <t>Comox Valley Crisscross</t>
  </si>
  <si>
    <t>1744A Piercy Ave</t>
  </si>
  <si>
    <t>BEVAN</t>
  </si>
  <si>
    <t>BUCKLEY BAY</t>
  </si>
  <si>
    <t>Rest Area</t>
  </si>
  <si>
    <t>6866 Buckley Bay Rd</t>
  </si>
  <si>
    <t>COMOX</t>
  </si>
  <si>
    <t>LITTLE RIVER</t>
  </si>
  <si>
    <t>OYSTER RIVER</t>
  </si>
  <si>
    <t>Your choice</t>
  </si>
  <si>
    <t>Discovery Foods Plaza</t>
  </si>
  <si>
    <t>HEADQUARTERS</t>
  </si>
  <si>
    <t>Stop Sign</t>
  </si>
  <si>
    <t>S. Farnham Rd @ Dove Creek Rd</t>
  </si>
  <si>
    <t>Back of stop sign, seen from Dove Ck</t>
  </si>
  <si>
    <t>What number?</t>
  </si>
  <si>
    <t>GRANTHAM</t>
  </si>
  <si>
    <t>Smith Rd @ Island Hwy</t>
  </si>
  <si>
    <t>Crosswalk across hwy</t>
  </si>
  <si>
    <t>On which side of Smith?</t>
  </si>
  <si>
    <t>LEFT       No crosswalk       RIGHT</t>
  </si>
  <si>
    <t>4791 Lake Trail Rd</t>
  </si>
  <si>
    <t>How many concrete pillars under sign?</t>
  </si>
  <si>
    <t>Large rock with graffiti.  Shannon hearts ________?</t>
  </si>
  <si>
    <t>Singing Sands Beach Access</t>
  </si>
  <si>
    <t>Pole on right facing water</t>
  </si>
  <si>
    <t>"No fires and/or _____??_____on beach…"</t>
  </si>
  <si>
    <t>(end of road)</t>
  </si>
  <si>
    <t>Frist driveway on left after end of gravel</t>
  </si>
  <si>
    <t>By crosswalk at far end of  loop</t>
  </si>
  <si>
    <t>Crown Isle Dr @ Club House Dr/Bristol Way</t>
  </si>
  <si>
    <t>Crown Isle Resort entrance</t>
  </si>
  <si>
    <t>What colour?</t>
  </si>
  <si>
    <t>Fire hydrant in front of resort sign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</si>
</sst>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m/yy\ hh:mm\ AM/PM"/>
    <numFmt numFmtId="165" formatCode="d/mmm/yy"/>
    <numFmt numFmtId="166" formatCode="dddd"/>
    <numFmt numFmtId="167" formatCode="0.0"/>
    <numFmt numFmtId="168" formatCode="mmmm\ d\,\ yyyy"/>
    <numFmt numFmtId="169" formatCode="[&lt;=9999999]###\-####;###\-###\-####"/>
  </numFmts>
  <fonts count="38" x14ac:knownFonts="1">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sz val="18"/>
      <name val="Arial"/>
      <family val="2"/>
    </font>
    <font>
      <sz val="14"/>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16"/>
      <color rgb="FFFF0000"/>
      <name val="Arial"/>
      <family val="2"/>
    </font>
    <font>
      <sz val="9"/>
      <name val="Arial"/>
      <family val="2"/>
    </font>
    <font>
      <sz val="11"/>
      <name val="Arial Narrow"/>
      <family val="2"/>
    </font>
    <font>
      <sz val="22"/>
      <name val="Arial"/>
      <family val="2"/>
    </font>
    <font>
      <b/>
      <sz val="18"/>
      <name val="Arial"/>
      <family val="2"/>
    </font>
    <font>
      <sz val="14"/>
      <color rgb="FFFF0000"/>
      <name val="Arial"/>
      <family val="2"/>
    </font>
    <font>
      <sz val="11"/>
      <name val="Arial"/>
      <family val="2"/>
    </font>
    <font>
      <sz val="11"/>
      <color rgb="FFFF0000"/>
      <name val="Arial"/>
      <family val="2"/>
    </font>
    <font>
      <b/>
      <sz val="22"/>
      <name val="Arial"/>
      <family val="2"/>
    </font>
    <font>
      <sz val="20"/>
      <name val="Arial Narrow"/>
      <family val="2"/>
    </font>
    <font>
      <b/>
      <sz val="20"/>
      <name val="Arial Narrow"/>
      <family val="2"/>
    </font>
    <font>
      <b/>
      <sz val="12"/>
      <name val="Arial"/>
      <family val="2"/>
    </font>
    <font>
      <b/>
      <sz val="18"/>
      <name val="Arial Narrow"/>
      <family val="2"/>
    </font>
  </fonts>
  <fills count="3">
    <fill>
      <patternFill patternType="none"/>
    </fill>
    <fill>
      <patternFill patternType="gray125"/>
    </fill>
    <fill>
      <patternFill patternType="solid">
        <fgColor indexed="22"/>
        <bgColor indexed="64"/>
      </patternFill>
    </fill>
  </fills>
  <borders count="31">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medium">
        <color auto="1"/>
      </top>
      <bottom/>
      <diagonal/>
    </border>
    <border>
      <left/>
      <right/>
      <top/>
      <bottom style="double">
        <color indexed="64"/>
      </bottom>
      <diagonal/>
    </border>
    <border>
      <left style="medium">
        <color auto="1"/>
      </left>
      <right/>
      <top/>
      <bottom style="thin">
        <color auto="1"/>
      </bottom>
      <diagonal/>
    </border>
  </borders>
  <cellStyleXfs count="356">
    <xf numFmtId="0" fontId="0"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1" fillId="0" borderId="0"/>
    <xf numFmtId="0" fontId="4" fillId="0" borderId="0"/>
    <xf numFmtId="0" fontId="5" fillId="0" borderId="0"/>
    <xf numFmtId="0" fontId="3" fillId="0" borderId="0"/>
    <xf numFmtId="0" fontId="2" fillId="0" borderId="0"/>
    <xf numFmtId="0" fontId="1"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145">
    <xf numFmtId="0" fontId="0" fillId="0" borderId="0" xfId="0"/>
    <xf numFmtId="0" fontId="0" fillId="0" borderId="0" xfId="0" applyAlignment="1">
      <alignment horizontal="right"/>
    </xf>
    <xf numFmtId="0" fontId="0" fillId="0" borderId="0" xfId="0" applyProtection="1">
      <protection hidden="1"/>
    </xf>
    <xf numFmtId="164" fontId="0" fillId="0" borderId="0" xfId="0" applyNumberFormat="1"/>
    <xf numFmtId="164" fontId="0" fillId="0" borderId="0" xfId="0" applyNumberFormat="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0" borderId="0" xfId="0" applyAlignment="1">
      <alignment vertical="top" textRotation="90"/>
    </xf>
    <xf numFmtId="0" fontId="0" fillId="0" borderId="0" xfId="0" applyAlignment="1" applyProtection="1">
      <alignment horizontal="centerContinuous"/>
      <protection hidden="1"/>
    </xf>
    <xf numFmtId="0" fontId="0" fillId="0" borderId="0" xfId="0" applyAlignment="1">
      <alignment horizontal="centerContinuous"/>
    </xf>
    <xf numFmtId="167" fontId="0" fillId="0" borderId="13" xfId="0" applyNumberFormat="1" applyBorder="1" applyProtection="1">
      <protection locked="0"/>
    </xf>
    <xf numFmtId="0" fontId="0" fillId="0" borderId="0" xfId="0" applyAlignment="1">
      <alignment horizontal="center"/>
    </xf>
    <xf numFmtId="0" fontId="10" fillId="0" borderId="0" xfId="0" applyFont="1" applyAlignment="1">
      <alignment horizontal="right"/>
    </xf>
    <xf numFmtId="0" fontId="5" fillId="2" borderId="3" xfId="0" applyFont="1" applyFill="1" applyBorder="1" applyAlignment="1">
      <alignment horizontal="right"/>
    </xf>
    <xf numFmtId="0" fontId="10" fillId="0" borderId="0" xfId="0" applyFont="1" applyAlignment="1">
      <alignment vertical="center"/>
    </xf>
    <xf numFmtId="167" fontId="0" fillId="0" borderId="23" xfId="0" applyNumberFormat="1" applyBorder="1" applyProtection="1">
      <protection locked="0"/>
    </xf>
    <xf numFmtId="168" fontId="10" fillId="0" borderId="0" xfId="0" applyNumberFormat="1" applyFont="1" applyAlignment="1">
      <alignment horizontal="center"/>
    </xf>
    <xf numFmtId="0" fontId="10" fillId="0" borderId="0" xfId="0" applyFont="1" applyAlignment="1">
      <alignment horizontal="center"/>
    </xf>
    <xf numFmtId="18" fontId="20" fillId="0" borderId="0" xfId="0" applyNumberFormat="1" applyFont="1" applyAlignment="1">
      <alignment horizontal="center" wrapText="1"/>
    </xf>
    <xf numFmtId="0" fontId="24" fillId="2" borderId="12" xfId="0" applyFont="1" applyFill="1" applyBorder="1"/>
    <xf numFmtId="0" fontId="24" fillId="2" borderId="10" xfId="0" applyFont="1" applyFill="1" applyBorder="1"/>
    <xf numFmtId="167" fontId="0" fillId="0" borderId="22" xfId="0" applyNumberFormat="1" applyBorder="1" applyProtection="1">
      <protection locked="0"/>
    </xf>
    <xf numFmtId="0" fontId="12" fillId="0" borderId="18" xfId="0" applyFont="1" applyBorder="1" applyProtection="1">
      <protection locked="0"/>
    </xf>
    <xf numFmtId="49" fontId="12" fillId="0" borderId="18" xfId="0" applyNumberFormat="1" applyFont="1" applyBorder="1" applyAlignment="1" applyProtection="1">
      <alignment horizontal="center"/>
      <protection locked="0"/>
    </xf>
    <xf numFmtId="49" fontId="12" fillId="0" borderId="8" xfId="0" applyNumberFormat="1" applyFont="1" applyBorder="1" applyAlignment="1" applyProtection="1">
      <alignment horizontal="center"/>
      <protection locked="0"/>
    </xf>
    <xf numFmtId="0" fontId="12" fillId="0" borderId="2" xfId="0" applyFont="1" applyBorder="1" applyProtection="1">
      <protection locked="0"/>
    </xf>
    <xf numFmtId="1" fontId="12" fillId="0" borderId="4" xfId="0" applyNumberFormat="1" applyFont="1" applyBorder="1" applyProtection="1">
      <protection locked="0"/>
    </xf>
    <xf numFmtId="15" fontId="12" fillId="0" borderId="4" xfId="0" applyNumberFormat="1" applyFont="1" applyBorder="1" applyProtection="1">
      <protection locked="0"/>
    </xf>
    <xf numFmtId="20" fontId="12" fillId="0" borderId="8" xfId="0" applyNumberFormat="1" applyFont="1" applyBorder="1" applyProtection="1">
      <protection locked="0"/>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5" fillId="0" borderId="24" xfId="0" applyFont="1" applyBorder="1" applyProtection="1">
      <protection locked="0"/>
    </xf>
    <xf numFmtId="167" fontId="0" fillId="0" borderId="0" xfId="0" applyNumberFormat="1"/>
    <xf numFmtId="0" fontId="9" fillId="0" borderId="0" xfId="0" applyFont="1"/>
    <xf numFmtId="0" fontId="5" fillId="0" borderId="0" xfId="0" applyFont="1"/>
    <xf numFmtId="0" fontId="0" fillId="2" borderId="26" xfId="0" applyFill="1" applyBorder="1" applyAlignment="1">
      <alignment horizontal="right"/>
    </xf>
    <xf numFmtId="15" fontId="12" fillId="0" borderId="25" xfId="0" applyNumberFormat="1" applyFont="1" applyBorder="1" applyProtection="1">
      <protection locked="0"/>
    </xf>
    <xf numFmtId="0" fontId="5" fillId="2" borderId="27" xfId="0" applyFont="1" applyFill="1" applyBorder="1" applyAlignment="1">
      <alignment horizontal="right"/>
    </xf>
    <xf numFmtId="0" fontId="5" fillId="0" borderId="0" xfId="0" applyFont="1" applyAlignment="1">
      <alignment wrapText="1"/>
    </xf>
    <xf numFmtId="0" fontId="0" fillId="0" borderId="0" xfId="0" applyProtection="1">
      <protection locked="0"/>
    </xf>
    <xf numFmtId="15" fontId="27" fillId="0" borderId="4" xfId="0" applyNumberFormat="1" applyFont="1" applyBorder="1" applyAlignment="1" applyProtection="1">
      <alignment horizontal="center"/>
      <protection locked="0"/>
    </xf>
    <xf numFmtId="0" fontId="26" fillId="2" borderId="27" xfId="0" applyFont="1" applyFill="1" applyBorder="1" applyAlignment="1">
      <alignment horizontal="right"/>
    </xf>
    <xf numFmtId="0" fontId="26" fillId="0" borderId="0" xfId="0" applyFont="1"/>
    <xf numFmtId="0" fontId="26" fillId="0" borderId="0" xfId="0" applyFont="1" applyAlignment="1">
      <alignment wrapText="1"/>
    </xf>
    <xf numFmtId="0" fontId="7" fillId="2" borderId="15" xfId="0" applyFont="1" applyFill="1" applyBorder="1" applyAlignment="1">
      <alignment horizontal="center" wrapText="1"/>
    </xf>
    <xf numFmtId="0" fontId="10" fillId="0" borderId="0" xfId="0" applyFont="1" applyAlignment="1">
      <alignment vertical="center" wrapText="1"/>
    </xf>
    <xf numFmtId="0" fontId="16" fillId="0" borderId="0" xfId="0" applyFont="1"/>
    <xf numFmtId="0" fontId="10" fillId="0" borderId="0" xfId="0" applyFont="1" applyProtection="1">
      <protection locked="0"/>
    </xf>
    <xf numFmtId="0" fontId="11" fillId="0" borderId="0" xfId="0" applyFont="1" applyAlignment="1">
      <alignment vertical="center"/>
    </xf>
    <xf numFmtId="0" fontId="6" fillId="0" borderId="0" xfId="0" applyFont="1" applyAlignment="1">
      <alignment vertical="top"/>
    </xf>
    <xf numFmtId="0" fontId="5" fillId="0" borderId="0" xfId="0" applyFont="1" applyAlignment="1">
      <alignment vertical="top"/>
    </xf>
    <xf numFmtId="0" fontId="0" fillId="0" borderId="0" xfId="0" applyAlignment="1">
      <alignment vertical="top"/>
    </xf>
    <xf numFmtId="0" fontId="11" fillId="0" borderId="0" xfId="0" applyFont="1" applyAlignment="1">
      <alignment horizontal="right" vertical="center"/>
    </xf>
    <xf numFmtId="0" fontId="5" fillId="0" borderId="0" xfId="0" applyFont="1" applyAlignment="1">
      <alignment horizontal="right"/>
    </xf>
    <xf numFmtId="0" fontId="11" fillId="0" borderId="0" xfId="0" applyFont="1" applyAlignment="1">
      <alignment horizontal="left" vertical="center"/>
    </xf>
    <xf numFmtId="0" fontId="11" fillId="0" borderId="29" xfId="0" applyFont="1" applyBorder="1" applyAlignment="1">
      <alignment horizontal="right" vertical="center"/>
    </xf>
    <xf numFmtId="0" fontId="11" fillId="0" borderId="29" xfId="0" applyFont="1" applyBorder="1" applyAlignment="1">
      <alignment vertical="center"/>
    </xf>
    <xf numFmtId="0" fontId="11" fillId="0" borderId="29" xfId="0" applyFont="1" applyBorder="1" applyAlignment="1">
      <alignment horizontal="left" vertical="center"/>
    </xf>
    <xf numFmtId="0" fontId="10" fillId="0" borderId="0" xfId="0" quotePrefix="1" applyFont="1" applyAlignment="1">
      <alignment horizontal="left" vertical="center"/>
    </xf>
    <xf numFmtId="0" fontId="0" fillId="0" borderId="18" xfId="0" applyBorder="1" applyProtection="1">
      <protection locked="0"/>
    </xf>
    <xf numFmtId="0" fontId="28" fillId="0" borderId="0" xfId="0" applyFont="1" applyAlignment="1">
      <alignment horizontal="right" vertical="center"/>
    </xf>
    <xf numFmtId="0" fontId="16" fillId="0" borderId="0" xfId="0" applyFont="1" applyAlignment="1">
      <alignment vertical="top"/>
    </xf>
    <xf numFmtId="18" fontId="20" fillId="0" borderId="18" xfId="0" applyNumberFormat="1" applyFont="1" applyBorder="1" applyAlignment="1">
      <alignment horizontal="center" wrapText="1"/>
    </xf>
    <xf numFmtId="168" fontId="10" fillId="0" borderId="18" xfId="0" applyNumberFormat="1" applyFont="1" applyBorder="1" applyAlignment="1" applyProtection="1">
      <alignment horizontal="center"/>
      <protection locked="0"/>
    </xf>
    <xf numFmtId="0" fontId="10" fillId="0" borderId="0" xfId="0" applyFont="1" applyAlignment="1">
      <alignment horizontal="left" vertical="center"/>
    </xf>
    <xf numFmtId="0" fontId="28" fillId="0" borderId="0" xfId="0" applyFont="1" applyAlignment="1">
      <alignment horizontal="left" vertical="center"/>
    </xf>
    <xf numFmtId="15" fontId="26" fillId="2" borderId="2" xfId="0" applyNumberFormat="1" applyFont="1" applyFill="1" applyBorder="1" applyAlignment="1">
      <alignment horizontal="center"/>
    </xf>
    <xf numFmtId="168" fontId="10" fillId="0" borderId="0" xfId="0" applyNumberFormat="1" applyFont="1" applyAlignment="1" applyProtection="1">
      <alignment horizontal="center"/>
      <protection locked="0"/>
    </xf>
    <xf numFmtId="0" fontId="16" fillId="0" borderId="0" xfId="0" applyFont="1" applyAlignment="1">
      <alignment vertical="center" wrapText="1"/>
    </xf>
    <xf numFmtId="0" fontId="0" fillId="0" borderId="0" xfId="0" applyAlignment="1">
      <alignment horizontal="left"/>
    </xf>
    <xf numFmtId="0" fontId="5" fillId="0" borderId="0" xfId="0" applyFont="1" applyAlignment="1">
      <alignment horizontal="right" vertical="top"/>
    </xf>
    <xf numFmtId="15" fontId="5" fillId="0" borderId="0" xfId="0" applyNumberFormat="1" applyFont="1" applyAlignment="1">
      <alignment horizontal="left"/>
    </xf>
    <xf numFmtId="0" fontId="7" fillId="0" borderId="0" xfId="0" applyFont="1" applyAlignment="1">
      <alignment horizontal="right" vertical="top"/>
    </xf>
    <xf numFmtId="15" fontId="7" fillId="0" borderId="0" xfId="0" applyNumberFormat="1" applyFont="1" applyAlignment="1">
      <alignment horizontal="left"/>
    </xf>
    <xf numFmtId="0" fontId="5" fillId="2" borderId="25" xfId="0" applyFont="1" applyFill="1" applyBorder="1" applyAlignment="1">
      <alignment horizontal="right" vertical="center"/>
    </xf>
    <xf numFmtId="169" fontId="11" fillId="0" borderId="0" xfId="0" applyNumberFormat="1" applyFont="1" applyAlignment="1">
      <alignment vertical="center"/>
    </xf>
    <xf numFmtId="169" fontId="0" fillId="0" borderId="25" xfId="0" applyNumberFormat="1" applyBorder="1" applyAlignment="1" applyProtection="1">
      <alignment horizontal="left"/>
      <protection locked="0"/>
    </xf>
    <xf numFmtId="0" fontId="0" fillId="2" borderId="30" xfId="0" applyFill="1" applyBorder="1" applyAlignment="1">
      <alignment horizontal="right"/>
    </xf>
    <xf numFmtId="0" fontId="0" fillId="2" borderId="17" xfId="0" applyFill="1" applyBorder="1"/>
    <xf numFmtId="0" fontId="12" fillId="0" borderId="0" xfId="0" applyFont="1" applyProtection="1">
      <protection locked="0"/>
    </xf>
    <xf numFmtId="0" fontId="32" fillId="0" borderId="0" xfId="0" applyFont="1"/>
    <xf numFmtId="0" fontId="31" fillId="0" borderId="0" xfId="0" applyFont="1"/>
    <xf numFmtId="0" fontId="31" fillId="0" borderId="0" xfId="0" applyFont="1" applyAlignment="1">
      <alignment vertical="top" wrapText="1"/>
    </xf>
    <xf numFmtId="167" fontId="34" fillId="0" borderId="16" xfId="0" applyNumberFormat="1" applyFont="1" applyBorder="1" applyAlignment="1">
      <alignment horizontal="center" wrapText="1"/>
    </xf>
    <xf numFmtId="0" fontId="34" fillId="0" borderId="17" xfId="0" applyFont="1" applyBorder="1" applyAlignment="1">
      <alignment horizontal="center" vertical="center"/>
    </xf>
    <xf numFmtId="0" fontId="35" fillId="0" borderId="16" xfId="0" applyFont="1" applyBorder="1" applyAlignment="1">
      <alignment horizontal="center" vertical="center" wrapText="1"/>
    </xf>
    <xf numFmtId="0" fontId="8" fillId="0" borderId="28" xfId="0" applyFont="1" applyBorder="1"/>
    <xf numFmtId="167" fontId="35" fillId="0" borderId="16" xfId="0" applyNumberFormat="1" applyFont="1" applyBorder="1" applyAlignment="1">
      <alignment horizontal="center" vertical="center"/>
    </xf>
    <xf numFmtId="18" fontId="35" fillId="0" borderId="16" xfId="0" applyNumberFormat="1" applyFont="1" applyBorder="1" applyAlignment="1">
      <alignment horizontal="center" vertical="center" wrapText="1"/>
    </xf>
    <xf numFmtId="0" fontId="8" fillId="0" borderId="16" xfId="0" applyFont="1" applyBorder="1"/>
    <xf numFmtId="167" fontId="34" fillId="0" borderId="7" xfId="0" applyNumberFormat="1" applyFont="1" applyBorder="1"/>
    <xf numFmtId="0" fontId="34" fillId="0" borderId="18" xfId="0" applyFont="1" applyBorder="1" applyAlignment="1">
      <alignment horizontal="center" vertical="center"/>
    </xf>
    <xf numFmtId="0" fontId="35" fillId="0" borderId="7" xfId="0" applyFont="1" applyBorder="1" applyAlignment="1">
      <alignment horizontal="center" vertical="center" wrapText="1"/>
    </xf>
    <xf numFmtId="0" fontId="8" fillId="0" borderId="7" xfId="0" applyFont="1" applyBorder="1"/>
    <xf numFmtId="0" fontId="34" fillId="0" borderId="16" xfId="0" applyFont="1" applyBorder="1" applyAlignment="1">
      <alignment horizontal="center" vertical="center"/>
    </xf>
    <xf numFmtId="166" fontId="20" fillId="0" borderId="16" xfId="0" applyNumberFormat="1" applyFont="1" applyBorder="1" applyAlignment="1">
      <alignment horizontal="center" vertical="center" wrapText="1"/>
    </xf>
    <xf numFmtId="165" fontId="20" fillId="0" borderId="7" xfId="0" applyNumberFormat="1" applyFont="1" applyBorder="1" applyAlignment="1">
      <alignment horizontal="center" vertical="center" wrapText="1"/>
    </xf>
    <xf numFmtId="15" fontId="0" fillId="0" borderId="0" xfId="0" applyNumberFormat="1" applyProtection="1">
      <protection locked="0"/>
    </xf>
    <xf numFmtId="0" fontId="5" fillId="2" borderId="9" xfId="0" applyFont="1" applyFill="1" applyBorder="1" applyAlignment="1">
      <alignment horizontal="center"/>
    </xf>
    <xf numFmtId="0" fontId="0" fillId="2" borderId="5"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25" fillId="0" borderId="0" xfId="0" applyFont="1" applyAlignment="1">
      <alignment horizontal="center"/>
    </xf>
    <xf numFmtId="0" fontId="12" fillId="0" borderId="25" xfId="0" applyFont="1" applyBorder="1" applyAlignment="1" applyProtection="1">
      <alignment horizontal="center"/>
      <protection locked="0"/>
    </xf>
    <xf numFmtId="0" fontId="31" fillId="0" borderId="0" xfId="0" applyFont="1" applyAlignment="1">
      <alignment horizontal="left" vertical="top" wrapText="1"/>
    </xf>
    <xf numFmtId="0" fontId="30" fillId="0" borderId="0" xfId="0" applyFont="1" applyAlignment="1">
      <alignment horizontal="right"/>
    </xf>
    <xf numFmtId="0" fontId="5" fillId="0" borderId="0" xfId="0" applyFont="1" applyAlignment="1">
      <alignment horizontal="left"/>
    </xf>
    <xf numFmtId="0" fontId="18" fillId="0" borderId="18" xfId="0" applyFont="1" applyBorder="1" applyAlignment="1">
      <alignment horizontal="center" vertical="center"/>
    </xf>
    <xf numFmtId="0" fontId="10" fillId="0" borderId="0" xfId="0" applyFont="1" applyAlignment="1">
      <alignment horizontal="right" vertical="center" wrapText="1"/>
    </xf>
    <xf numFmtId="0" fontId="10" fillId="0" borderId="0" xfId="0" applyFont="1" applyAlignment="1">
      <alignment horizontal="left" vertical="center"/>
    </xf>
    <xf numFmtId="2" fontId="0" fillId="0" borderId="0" xfId="0" applyNumberFormat="1" applyAlignment="1">
      <alignment horizontal="center"/>
    </xf>
    <xf numFmtId="2" fontId="0" fillId="0" borderId="18" xfId="0" applyNumberFormat="1" applyBorder="1" applyAlignment="1">
      <alignment horizontal="center"/>
    </xf>
    <xf numFmtId="0" fontId="0" fillId="0" borderId="0" xfId="0" applyAlignment="1">
      <alignment horizontal="center"/>
    </xf>
    <xf numFmtId="0" fontId="0" fillId="0" borderId="18" xfId="0" applyBorder="1" applyAlignment="1">
      <alignment horizontal="center"/>
    </xf>
    <xf numFmtId="0" fontId="33" fillId="0" borderId="0" xfId="0" applyFont="1" applyAlignment="1">
      <alignment horizontal="center" vertical="center" wrapText="1"/>
    </xf>
    <xf numFmtId="0" fontId="9" fillId="0" borderId="0" xfId="0" applyFont="1" applyAlignment="1">
      <alignment horizontal="center"/>
    </xf>
    <xf numFmtId="0" fontId="10" fillId="0" borderId="0" xfId="0" applyFont="1" applyAlignment="1">
      <alignment horizontal="center" vertical="center" wrapText="1"/>
    </xf>
    <xf numFmtId="0" fontId="10" fillId="0" borderId="0" xfId="0" applyFont="1" applyAlignment="1">
      <alignment horizontal="right" vertical="center"/>
    </xf>
    <xf numFmtId="0" fontId="35" fillId="0" borderId="22" xfId="0" applyFont="1" applyBorder="1" applyAlignment="1" applyProtection="1">
      <alignment horizontal="center" vertical="center" wrapText="1"/>
      <protection locked="0"/>
    </xf>
    <xf numFmtId="0" fontId="35" fillId="0" borderId="18" xfId="0" applyFont="1" applyBorder="1" applyAlignment="1" applyProtection="1">
      <alignment horizontal="center" vertical="center" wrapText="1"/>
      <protection locked="0"/>
    </xf>
    <xf numFmtId="0" fontId="35" fillId="0" borderId="8" xfId="0" applyFont="1" applyBorder="1" applyAlignment="1" applyProtection="1">
      <alignment horizontal="center" vertical="center" wrapText="1"/>
      <protection locked="0"/>
    </xf>
    <xf numFmtId="0" fontId="35" fillId="0" borderId="19" xfId="0" applyFont="1" applyBorder="1" applyAlignment="1" applyProtection="1">
      <alignment horizontal="center" vertical="center" wrapText="1"/>
      <protection locked="0"/>
    </xf>
    <xf numFmtId="0" fontId="35" fillId="0" borderId="20" xfId="0" applyFont="1" applyBorder="1" applyAlignment="1" applyProtection="1">
      <alignment horizontal="center" vertical="center" wrapText="1"/>
      <protection locked="0"/>
    </xf>
    <xf numFmtId="0" fontId="35" fillId="0" borderId="21" xfId="0" applyFont="1" applyBorder="1" applyAlignment="1" applyProtection="1">
      <alignment horizontal="center" vertical="center" wrapText="1"/>
      <protection locked="0"/>
    </xf>
    <xf numFmtId="0" fontId="35" fillId="0" borderId="6" xfId="0" applyFont="1" applyBorder="1" applyAlignment="1" applyProtection="1">
      <alignment horizontal="center" vertical="center" wrapText="1"/>
      <protection locked="0"/>
    </xf>
    <xf numFmtId="0" fontId="35" fillId="0" borderId="0" xfId="0" applyFont="1" applyAlignment="1" applyProtection="1">
      <alignment horizontal="center" vertical="center" wrapText="1"/>
      <protection locked="0"/>
    </xf>
    <xf numFmtId="0" fontId="35" fillId="0" borderId="17" xfId="0" applyFont="1" applyBorder="1" applyAlignment="1" applyProtection="1">
      <alignment horizontal="center" vertical="center" wrapText="1"/>
      <protection locked="0"/>
    </xf>
    <xf numFmtId="0" fontId="10" fillId="0" borderId="0" xfId="0" applyFont="1" applyAlignment="1">
      <alignment horizontal="center" vertical="center"/>
    </xf>
    <xf numFmtId="0" fontId="7" fillId="2" borderId="9" xfId="0" applyFont="1" applyFill="1" applyBorder="1" applyAlignment="1">
      <alignment horizontal="center"/>
    </xf>
    <xf numFmtId="0" fontId="7" fillId="2" borderId="5" xfId="0" applyFont="1" applyFill="1" applyBorder="1" applyAlignment="1">
      <alignment horizontal="center"/>
    </xf>
    <xf numFmtId="0" fontId="7" fillId="2" borderId="10" xfId="0" applyFont="1" applyFill="1" applyBorder="1" applyAlignment="1">
      <alignment horizontal="center"/>
    </xf>
    <xf numFmtId="0" fontId="10" fillId="0" borderId="0" xfId="0" applyFont="1" applyAlignment="1">
      <alignment horizontal="right"/>
    </xf>
    <xf numFmtId="0" fontId="36" fillId="0" borderId="20" xfId="0" applyFont="1" applyBorder="1" applyAlignment="1">
      <alignment horizontal="center" vertical="top"/>
    </xf>
    <xf numFmtId="15" fontId="0" fillId="0" borderId="0" xfId="0" applyNumberFormat="1" applyAlignment="1">
      <alignment horizontal="left" vertical="top"/>
    </xf>
    <xf numFmtId="0" fontId="0" fillId="0" borderId="0" xfId="0" applyAlignment="1">
      <alignment horizontal="left" vertical="top"/>
    </xf>
    <xf numFmtId="0" fontId="29" fillId="0" borderId="0" xfId="0" applyFont="1" applyAlignment="1">
      <alignment horizontal="left" vertical="center"/>
    </xf>
    <xf numFmtId="0" fontId="6" fillId="0" borderId="20" xfId="0" applyFont="1" applyBorder="1" applyAlignment="1">
      <alignment horizontal="center" vertical="top"/>
    </xf>
    <xf numFmtId="0" fontId="37" fillId="0" borderId="16" xfId="0" applyFont="1" applyBorder="1" applyAlignment="1">
      <alignment horizontal="center" vertical="center" wrapText="1"/>
    </xf>
    <xf numFmtId="0" fontId="37" fillId="0" borderId="7" xfId="0" applyFont="1" applyBorder="1" applyAlignment="1">
      <alignment horizontal="center" vertical="center" wrapText="1"/>
    </xf>
  </cellXfs>
  <cellStyles count="35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Normal" xfId="0" builtinId="0"/>
    <cellStyle name="Normal 2" xfId="282" xr:uid="{00000000-0005-0000-0000-00005E010000}"/>
    <cellStyle name="Normal 3" xfId="283" xr:uid="{00000000-0005-0000-0000-00005F010000}"/>
    <cellStyle name="Normal 3 2" xfId="285" xr:uid="{00000000-0005-0000-0000-000060010000}"/>
    <cellStyle name="Normal 3 2 2" xfId="286" xr:uid="{00000000-0005-0000-0000-000061010000}"/>
    <cellStyle name="Normal 3 2 3" xfId="287" xr:uid="{00000000-0005-0000-0000-000062010000}"/>
    <cellStyle name="Normal 4" xfId="284" xr:uid="{00000000-0005-0000-0000-00006301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101600</xdr:colOff>
      <xdr:row>2</xdr:row>
      <xdr:rowOff>24577</xdr:rowOff>
    </xdr:from>
    <xdr:to>
      <xdr:col>2</xdr:col>
      <xdr:colOff>698900</xdr:colOff>
      <xdr:row>6</xdr:row>
      <xdr:rowOff>13272</xdr:rowOff>
    </xdr:to>
    <xdr:pic>
      <xdr:nvPicPr>
        <xdr:cNvPr id="2" name="Picture 1">
          <a:extLst>
            <a:ext uri="{FF2B5EF4-FFF2-40B4-BE49-F238E27FC236}">
              <a16:creationId xmlns:a16="http://schemas.microsoft.com/office/drawing/2014/main" id="{ECF1BBFE-B8D6-B945-BD9D-81491EC69EE0}"/>
            </a:ext>
          </a:extLst>
        </xdr:cNvPr>
        <xdr:cNvPicPr>
          <a:picLocks noChangeAspect="1"/>
        </xdr:cNvPicPr>
      </xdr:nvPicPr>
      <xdr:blipFill>
        <a:blip xmlns:r="http://schemas.openxmlformats.org/officeDocument/2006/relationships" r:embed="rId1"/>
        <a:stretch>
          <a:fillRect/>
        </a:stretch>
      </xdr:blipFill>
      <xdr:spPr>
        <a:xfrm>
          <a:off x="101600" y="430977"/>
          <a:ext cx="1714900" cy="13221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101600</xdr:colOff>
      <xdr:row>2</xdr:row>
      <xdr:rowOff>24577</xdr:rowOff>
    </xdr:from>
    <xdr:to>
      <xdr:col>2</xdr:col>
      <xdr:colOff>698900</xdr:colOff>
      <xdr:row>6</xdr:row>
      <xdr:rowOff>13272</xdr:rowOff>
    </xdr:to>
    <xdr:pic>
      <xdr:nvPicPr>
        <xdr:cNvPr id="2" name="Picture 1">
          <a:extLst>
            <a:ext uri="{FF2B5EF4-FFF2-40B4-BE49-F238E27FC236}">
              <a16:creationId xmlns:a16="http://schemas.microsoft.com/office/drawing/2014/main" id="{6A28C82B-1825-634A-A3AA-8400CD049D08}"/>
            </a:ext>
          </a:extLst>
        </xdr:cNvPr>
        <xdr:cNvPicPr>
          <a:picLocks noChangeAspect="1"/>
        </xdr:cNvPicPr>
      </xdr:nvPicPr>
      <xdr:blipFill>
        <a:blip xmlns:r="http://schemas.openxmlformats.org/officeDocument/2006/relationships" r:embed="rId1"/>
        <a:stretch>
          <a:fillRect/>
        </a:stretch>
      </xdr:blipFill>
      <xdr:spPr>
        <a:xfrm>
          <a:off x="101600" y="418277"/>
          <a:ext cx="1714900" cy="13221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7"/>
  <sheetViews>
    <sheetView showGridLines="0" tabSelected="1" zoomScale="140" zoomScaleNormal="140" zoomScalePageLayoutView="135" workbookViewId="0">
      <selection activeCell="B6" sqref="B6"/>
    </sheetView>
  </sheetViews>
  <sheetFormatPr baseColWidth="10" defaultColWidth="8.83203125" defaultRowHeight="13" x14ac:dyDescent="0.15"/>
  <cols>
    <col min="1" max="1" width="16.5" style="1" customWidth="1"/>
    <col min="2" max="2" width="10.83203125" customWidth="1"/>
    <col min="3" max="3" width="1" style="2" hidden="1" customWidth="1"/>
    <col min="4" max="4" width="8.33203125" customWidth="1"/>
    <col min="5" max="5" width="17" bestFit="1" customWidth="1"/>
    <col min="6" max="11" width="34.1640625" customWidth="1"/>
    <col min="12" max="15" width="17.83203125" hidden="1" customWidth="1"/>
    <col min="16" max="16" width="2.1640625" customWidth="1"/>
  </cols>
  <sheetData>
    <row r="1" spans="1:33" ht="20" customHeight="1" x14ac:dyDescent="0.2">
      <c r="A1" s="108" t="s">
        <v>55</v>
      </c>
      <c r="B1" s="108"/>
      <c r="C1" s="108"/>
      <c r="D1" s="108"/>
      <c r="E1" s="108"/>
      <c r="F1" s="108"/>
      <c r="G1" s="108"/>
      <c r="H1" s="40" t="s">
        <v>53</v>
      </c>
      <c r="Q1" s="110" t="s">
        <v>71</v>
      </c>
      <c r="R1" s="110"/>
      <c r="S1" s="110"/>
      <c r="T1" s="110"/>
      <c r="U1" s="110"/>
      <c r="V1" s="110"/>
      <c r="W1" s="110"/>
      <c r="X1" s="110"/>
      <c r="Y1" s="110"/>
      <c r="Z1" s="110"/>
      <c r="AA1" s="110"/>
      <c r="AB1" s="110"/>
      <c r="AC1" s="110"/>
      <c r="AD1" s="110"/>
      <c r="AE1" s="110"/>
      <c r="AF1" s="110"/>
      <c r="AG1" s="88"/>
    </row>
    <row r="2" spans="1:33" ht="13" customHeight="1" thickBot="1" x14ac:dyDescent="0.2">
      <c r="H2" s="44"/>
      <c r="I2" s="44"/>
      <c r="Q2" s="110"/>
      <c r="R2" s="110"/>
      <c r="S2" s="110"/>
      <c r="T2" s="110"/>
      <c r="U2" s="110"/>
      <c r="V2" s="110"/>
      <c r="W2" s="110"/>
      <c r="X2" s="110"/>
      <c r="Y2" s="110"/>
      <c r="Z2" s="110"/>
      <c r="AA2" s="110"/>
      <c r="AB2" s="110"/>
      <c r="AC2" s="110"/>
      <c r="AD2" s="110"/>
      <c r="AE2" s="110"/>
      <c r="AF2" s="110"/>
      <c r="AG2" s="88"/>
    </row>
    <row r="3" spans="1:33" s="48" customFormat="1" ht="13" customHeight="1" thickBot="1" x14ac:dyDescent="0.2">
      <c r="A3" s="47" t="s">
        <v>52</v>
      </c>
      <c r="B3" s="72">
        <v>45428</v>
      </c>
      <c r="H3" s="49"/>
      <c r="I3" s="49"/>
      <c r="Q3" s="110"/>
      <c r="R3" s="110"/>
      <c r="S3" s="110"/>
      <c r="T3" s="110"/>
      <c r="U3" s="110"/>
      <c r="V3" s="110"/>
      <c r="W3" s="110"/>
      <c r="X3" s="110"/>
      <c r="Y3" s="110"/>
      <c r="Z3" s="110"/>
      <c r="AA3" s="110"/>
      <c r="AB3" s="110"/>
      <c r="AC3" s="110"/>
      <c r="AD3" s="110"/>
      <c r="AE3" s="110"/>
      <c r="AF3" s="110"/>
      <c r="AG3" s="88"/>
    </row>
    <row r="4" spans="1:33" ht="13" customHeight="1" x14ac:dyDescent="0.15">
      <c r="A4" s="43" t="s">
        <v>54</v>
      </c>
      <c r="B4" s="46">
        <v>45536</v>
      </c>
      <c r="C4"/>
      <c r="H4" s="44"/>
      <c r="I4" s="44"/>
      <c r="Q4" s="110"/>
      <c r="R4" s="110"/>
      <c r="S4" s="110"/>
      <c r="T4" s="110"/>
      <c r="U4" s="110"/>
      <c r="V4" s="110"/>
      <c r="W4" s="110"/>
      <c r="X4" s="110"/>
      <c r="Y4" s="110"/>
      <c r="Z4" s="110"/>
      <c r="AA4" s="110"/>
      <c r="AB4" s="110"/>
      <c r="AC4" s="110"/>
      <c r="AD4" s="110"/>
      <c r="AE4" s="110"/>
      <c r="AF4" s="110"/>
      <c r="AG4" s="88"/>
    </row>
    <row r="5" spans="1:33" ht="7" customHeight="1" thickBot="1" x14ac:dyDescent="0.2">
      <c r="H5" s="44"/>
      <c r="I5" s="44"/>
      <c r="Q5" s="88"/>
      <c r="R5" s="88"/>
      <c r="S5" s="88"/>
      <c r="T5" s="88"/>
      <c r="U5" s="88"/>
      <c r="V5" s="88"/>
      <c r="W5" s="88"/>
      <c r="X5" s="88"/>
      <c r="Y5" s="88"/>
      <c r="Z5" s="88"/>
      <c r="AA5" s="88"/>
      <c r="AB5" s="88"/>
      <c r="AC5" s="88"/>
      <c r="AD5" s="88"/>
      <c r="AE5" s="88"/>
      <c r="AF5" s="88"/>
      <c r="AG5" s="88"/>
    </row>
    <row r="6" spans="1:33" ht="18" x14ac:dyDescent="0.2">
      <c r="A6" s="10" t="s">
        <v>15</v>
      </c>
      <c r="B6" s="30">
        <v>200</v>
      </c>
      <c r="C6">
        <f>IF(Brevet_Length&gt;=1200,Brevet_Length,IF(Brevet_Length&gt;=1000,1000,IF(Brevet_Length&gt;=600,600,IF(Brevet_Length&gt;=400,400,IF(Brevet_Length&gt;=300,300,IF(Brevet_Length&gt;=200,200,100))))))</f>
        <v>200</v>
      </c>
      <c r="J6" s="111" t="s">
        <v>40</v>
      </c>
      <c r="K6" s="111"/>
      <c r="Q6" s="86" t="s">
        <v>41</v>
      </c>
      <c r="R6" s="86"/>
      <c r="S6" s="86"/>
      <c r="T6" s="86"/>
      <c r="U6" s="86"/>
      <c r="V6" s="86"/>
      <c r="W6" s="86"/>
      <c r="X6" s="87"/>
      <c r="Y6" s="87"/>
      <c r="Z6" s="87"/>
    </row>
    <row r="7" spans="1:33" ht="14" x14ac:dyDescent="0.15">
      <c r="A7" s="11" t="s">
        <v>16</v>
      </c>
      <c r="B7" s="84">
        <f>IF(brevet=1200,90,IF(brevet=1000,75,IF(brevet=600,40,IF(brevet=400,27,IF(brevet=300,20,IF(brevet=200,13.5,IF(brevet&lt;200,L7,0)))))))</f>
        <v>13.5</v>
      </c>
      <c r="L7">
        <f>IF(Brevet_Length=150,10.5,IF(Brevet_Length=100,7,IF(Brevet_Length=50,3.5,IF(Brevet_Length=25, 2,0))))</f>
        <v>0</v>
      </c>
      <c r="Q7" s="87" t="s">
        <v>42</v>
      </c>
      <c r="R7" s="87"/>
      <c r="S7" s="87"/>
      <c r="T7" s="87"/>
      <c r="U7" s="87"/>
      <c r="V7" s="87"/>
      <c r="W7" s="87"/>
      <c r="X7" s="87"/>
      <c r="Y7" s="87"/>
      <c r="Z7" s="87"/>
    </row>
    <row r="8" spans="1:33" ht="18" x14ac:dyDescent="0.2">
      <c r="A8" s="83" t="s">
        <v>17</v>
      </c>
      <c r="B8" s="109" t="s">
        <v>79</v>
      </c>
      <c r="C8" s="109"/>
      <c r="D8" s="109"/>
      <c r="E8" s="109"/>
      <c r="F8" s="109"/>
      <c r="G8" s="85"/>
      <c r="H8" s="85"/>
      <c r="I8" s="16"/>
      <c r="J8" s="16"/>
      <c r="K8" s="16"/>
      <c r="Q8" s="86" t="s">
        <v>43</v>
      </c>
      <c r="R8" s="87"/>
      <c r="S8" s="87"/>
      <c r="T8" s="87"/>
      <c r="U8" s="87"/>
      <c r="V8" s="87"/>
      <c r="W8" s="87"/>
      <c r="X8" s="87"/>
      <c r="Y8" s="87"/>
      <c r="Z8" s="87"/>
    </row>
    <row r="9" spans="1:33" ht="18" x14ac:dyDescent="0.2">
      <c r="A9" s="11" t="s">
        <v>18</v>
      </c>
      <c r="B9" s="31">
        <v>5413</v>
      </c>
      <c r="C9" s="13"/>
      <c r="F9" s="14"/>
      <c r="G9" s="14"/>
      <c r="H9" s="14"/>
      <c r="I9" s="14"/>
      <c r="J9" s="14"/>
      <c r="K9" s="14"/>
      <c r="Q9" s="86" t="s">
        <v>44</v>
      </c>
      <c r="R9" s="87"/>
      <c r="S9" s="87"/>
      <c r="T9" s="87"/>
      <c r="U9" s="87"/>
      <c r="V9" s="87"/>
      <c r="W9" s="87"/>
      <c r="X9" s="87"/>
      <c r="Y9" s="87"/>
      <c r="Z9" s="87"/>
    </row>
    <row r="10" spans="1:33" ht="18" x14ac:dyDescent="0.2">
      <c r="A10" s="18" t="s">
        <v>32</v>
      </c>
      <c r="B10" s="32">
        <v>45542</v>
      </c>
      <c r="E10" s="80" t="s">
        <v>66</v>
      </c>
      <c r="F10" s="82" t="s">
        <v>78</v>
      </c>
      <c r="Q10" s="86" t="s">
        <v>45</v>
      </c>
      <c r="R10" s="87"/>
      <c r="S10" s="87"/>
      <c r="T10" s="87"/>
      <c r="U10" s="87"/>
      <c r="V10" s="87"/>
      <c r="W10" s="87"/>
      <c r="X10" s="87"/>
      <c r="Y10" s="87"/>
      <c r="Z10" s="87"/>
    </row>
    <row r="11" spans="1:33" ht="6" customHeight="1" x14ac:dyDescent="0.15">
      <c r="B11" s="103"/>
      <c r="Q11" s="87"/>
      <c r="R11" s="87"/>
      <c r="S11" s="87"/>
      <c r="T11" s="87"/>
      <c r="U11" s="87"/>
      <c r="V11" s="87"/>
      <c r="W11" s="87"/>
      <c r="X11" s="87"/>
      <c r="Y11" s="87"/>
      <c r="Z11" s="87"/>
    </row>
    <row r="12" spans="1:33" ht="18" customHeight="1" thickBot="1" x14ac:dyDescent="0.25">
      <c r="A12" s="41" t="s">
        <v>19</v>
      </c>
      <c r="B12" s="42">
        <v>45542</v>
      </c>
      <c r="Q12" s="86" t="s">
        <v>49</v>
      </c>
      <c r="R12" s="87"/>
      <c r="S12" s="87"/>
      <c r="T12" s="87"/>
      <c r="U12" s="87"/>
      <c r="V12" s="87"/>
      <c r="W12" s="87"/>
      <c r="X12" s="87"/>
      <c r="Y12" s="87"/>
      <c r="Z12" s="87"/>
    </row>
    <row r="13" spans="1:33" ht="19" thickBot="1" x14ac:dyDescent="0.25">
      <c r="A13" s="9" t="s">
        <v>20</v>
      </c>
      <c r="B13" s="33">
        <v>0.29166666666666669</v>
      </c>
      <c r="D13" s="104" t="s">
        <v>51</v>
      </c>
      <c r="E13" s="105"/>
      <c r="F13" s="105"/>
      <c r="G13" s="105"/>
      <c r="H13" s="105"/>
      <c r="I13" s="106" t="s">
        <v>47</v>
      </c>
      <c r="J13" s="105"/>
      <c r="K13" s="107"/>
      <c r="Q13" s="86" t="s">
        <v>48</v>
      </c>
      <c r="R13" s="87"/>
      <c r="S13" s="87"/>
      <c r="T13" s="87"/>
      <c r="U13" s="87"/>
      <c r="V13" s="87"/>
      <c r="W13" s="87"/>
      <c r="X13" s="87"/>
      <c r="Y13" s="87"/>
      <c r="Z13" s="87"/>
    </row>
    <row r="14" spans="1:33" ht="15" thickBot="1" x14ac:dyDescent="0.2">
      <c r="D14" s="5" t="s">
        <v>21</v>
      </c>
      <c r="E14" s="6" t="s">
        <v>22</v>
      </c>
      <c r="F14" s="24" t="s">
        <v>23</v>
      </c>
      <c r="G14" s="24" t="s">
        <v>24</v>
      </c>
      <c r="H14" s="25" t="s">
        <v>25</v>
      </c>
      <c r="I14" s="6" t="s">
        <v>37</v>
      </c>
      <c r="J14" s="6" t="s">
        <v>38</v>
      </c>
      <c r="K14" s="7" t="s">
        <v>39</v>
      </c>
      <c r="L14" t="s">
        <v>0</v>
      </c>
      <c r="M14" t="s">
        <v>1</v>
      </c>
      <c r="N14" t="s">
        <v>2</v>
      </c>
      <c r="O14" t="s">
        <v>3</v>
      </c>
      <c r="Q14" s="86" t="s">
        <v>67</v>
      </c>
      <c r="R14" s="87"/>
      <c r="S14" s="87"/>
      <c r="T14" s="87"/>
      <c r="U14" s="87"/>
      <c r="V14" s="87"/>
      <c r="W14" s="87"/>
      <c r="X14" s="87"/>
      <c r="Y14" s="87"/>
      <c r="Z14" s="87"/>
    </row>
    <row r="15" spans="1:33" ht="17" customHeight="1" x14ac:dyDescent="0.15">
      <c r="C15" s="2" t="s">
        <v>4</v>
      </c>
      <c r="D15" s="15">
        <v>0</v>
      </c>
      <c r="E15" s="34" t="s">
        <v>76</v>
      </c>
      <c r="F15" s="35" t="s">
        <v>74</v>
      </c>
      <c r="G15" s="35" t="s">
        <v>80</v>
      </c>
      <c r="H15" s="36"/>
      <c r="I15" s="35"/>
      <c r="J15" s="35"/>
      <c r="K15" s="36"/>
      <c r="L15" s="3">
        <f>Start_date+Start_time</f>
        <v>45542.291666666664</v>
      </c>
      <c r="M15" s="3">
        <f>L15+"1:00"</f>
        <v>45542.333333333328</v>
      </c>
      <c r="N15" s="4">
        <f>IF(ISBLANK(Distance),"",Open Control_1)</f>
        <v>45542.291666666664</v>
      </c>
      <c r="O15" s="4">
        <f>IF(ISBLANK(Distance),"",Close Control_1)</f>
        <v>45542.333333333328</v>
      </c>
      <c r="Q15" s="86" t="s">
        <v>72</v>
      </c>
      <c r="R15" s="87"/>
      <c r="S15" s="87"/>
      <c r="T15" s="87"/>
      <c r="U15" s="87"/>
      <c r="V15" s="87"/>
      <c r="W15" s="87"/>
      <c r="X15" s="87"/>
      <c r="Y15" s="87"/>
      <c r="Z15" s="87"/>
    </row>
    <row r="16" spans="1:33" ht="17" customHeight="1" x14ac:dyDescent="0.15">
      <c r="B16" s="38"/>
      <c r="C16" s="2" t="s">
        <v>5</v>
      </c>
      <c r="D16" s="15">
        <v>14.4</v>
      </c>
      <c r="E16" s="34" t="s">
        <v>81</v>
      </c>
      <c r="F16" s="35" t="s">
        <v>75</v>
      </c>
      <c r="G16" s="35" t="s">
        <v>107</v>
      </c>
      <c r="H16" s="36" t="s">
        <v>100</v>
      </c>
      <c r="I16" s="35" t="s">
        <v>101</v>
      </c>
      <c r="J16" s="35"/>
      <c r="K16" s="36"/>
      <c r="L16">
        <f>IF(ISBLANK(Distance),"",IF(Distance&gt;1000,(Distance-1000)/26+33.0847,(IF(Distance&gt;600,(Distance-600)/28+18.799,(IF(Distance&gt;400,(Distance-400)/30+12.1324,(IF(Distance&gt;200,(Distance-200)/32+5.8824,Distance/34))))))))</f>
        <v>0.42352941176470588</v>
      </c>
      <c r="M16">
        <f>IF(ISBLANK(Distance),"",IF(Distance&gt;=brevet,D16200IF(brevet&gt;1200,(brevet-1200)*75/1000+90,Max_time),IF(Distance&gt;1200,(Distance-1200)*75/1000+90,IF(Distance&gt;1000,(Distance-1000)/(1000/75)+75,IF(Distance&gt;600,(Distance-600)/(400/35)+40,IF(Distance&lt;=60,(Distance/20+1),Distance/15))))))</f>
        <v>1.72</v>
      </c>
      <c r="N16" s="4">
        <f>IF(ISBLANK(Distance),"",Open_time Control_1+(INT(Open)&amp;":"&amp;IF(ROUND(((Open-INT(Open))*60),0)&lt;10,0,"")&amp;ROUND(((Open-INT(Open))*60),0)))</f>
        <v>45542.309027777774</v>
      </c>
      <c r="O16" s="4">
        <f>IF(ISBLANK(Distance),"",Open_time Control_1+(INT(Close)&amp;":"&amp;IF(ROUND(((Close-INT(Close))*60),0)&lt;10,0,"")&amp;ROUND(((Close-INT(Close))*60),0)))</f>
        <v>45542.363194444442</v>
      </c>
      <c r="Q16" s="86" t="s">
        <v>68</v>
      </c>
      <c r="R16" s="87"/>
      <c r="S16" s="87"/>
      <c r="T16" s="87"/>
      <c r="U16" s="87"/>
      <c r="V16" s="87"/>
      <c r="W16" s="87"/>
      <c r="X16" s="87"/>
      <c r="Y16" s="87"/>
      <c r="Z16" s="87"/>
    </row>
    <row r="17" spans="2:26" ht="17" customHeight="1" x14ac:dyDescent="0.15">
      <c r="B17" s="38"/>
      <c r="C17" s="2" t="s">
        <v>6</v>
      </c>
      <c r="D17" s="15">
        <v>41.8</v>
      </c>
      <c r="E17" s="34" t="s">
        <v>82</v>
      </c>
      <c r="F17" s="35" t="s">
        <v>75</v>
      </c>
      <c r="G17" s="35" t="s">
        <v>83</v>
      </c>
      <c r="H17" s="36" t="s">
        <v>84</v>
      </c>
      <c r="I17" s="35" t="s">
        <v>108</v>
      </c>
      <c r="J17" s="35" t="s">
        <v>102</v>
      </c>
      <c r="K17" s="36"/>
      <c r="L17">
        <f>IF(ISBLANK(Distance),"",IF(Distance&gt;1000,(Distance-1000)/26+33.0847,(IF(Distance&gt;600,(Distance-600)/28+18.799,(IF(Distance&gt;400,(Distance-400)/30+12.1324,(IF(Distance&gt;200,(Distance-200)/32+5.8824,Distance/34))))))))</f>
        <v>1.2294117647058822</v>
      </c>
      <c r="M17">
        <f t="shared" ref="M17:M24" si="0">IF(ISBLANK(Distance),"",IF(Distance&gt;=brevet,IF(brevet&gt;1200,(brevet-1200)*75/1000+90,Max_time),IF(Distance&gt;1200,(Distance-1200)*75/1000+90,IF(Distance&gt;1000,(Distance-1000)/(1000/75)+75,IF(Distance&gt;600,(Distance-600)/(400/35)+40,IF(Distance&lt;=60,(Distance/20+1),Distance/15))))))</f>
        <v>3.09</v>
      </c>
      <c r="N17" s="4">
        <f>IF(ISBLANK(Distance),"",Open_time Control_1+(INT(Open)&amp;":"&amp;IF(ROUND(((Open-INT(Open))*60),0)&lt;10,0,"")&amp;ROUND(((Open-INT(Open))*60),0)))</f>
        <v>45542.343055555553</v>
      </c>
      <c r="O17" s="4">
        <f>IF(ISBLANK(Distance),"",Open_time Control_1+(INT(Close)&amp;":"&amp;IF(ROUND(((Close-INT(Close))*60),0)&lt;10,0,"")&amp;ROUND(((Close-INT(Close))*60),0)))</f>
        <v>45542.420138888883</v>
      </c>
      <c r="Q17" s="86" t="s">
        <v>46</v>
      </c>
      <c r="R17" s="87"/>
      <c r="S17" s="87"/>
      <c r="T17" s="87"/>
      <c r="U17" s="87"/>
      <c r="V17" s="87"/>
      <c r="W17" s="87"/>
      <c r="X17" s="87"/>
      <c r="Y17" s="87"/>
      <c r="Z17" s="87"/>
    </row>
    <row r="18" spans="2:26" ht="17" customHeight="1" x14ac:dyDescent="0.15">
      <c r="B18" s="38"/>
      <c r="C18" s="2" t="s">
        <v>7</v>
      </c>
      <c r="D18" s="15">
        <v>82.3</v>
      </c>
      <c r="E18" s="34" t="s">
        <v>85</v>
      </c>
      <c r="F18" s="35" t="s">
        <v>75</v>
      </c>
      <c r="G18" s="35" t="s">
        <v>110</v>
      </c>
      <c r="H18" s="35" t="s">
        <v>109</v>
      </c>
      <c r="I18" s="35" t="s">
        <v>112</v>
      </c>
      <c r="J18" s="35" t="s">
        <v>111</v>
      </c>
      <c r="K18" s="36"/>
      <c r="L18">
        <f t="shared" ref="L18:L24" si="1">IF(ISBLANK(Distance),"",IF(Distance&gt;1000,(Distance-1000)/26+33.0847,(IF(Distance&gt;600,(Distance-600)/28+18.799,(IF(Distance&gt;400,(Distance-400)/30+12.1324,(IF(Distance&gt;200,(Distance-200)/32+5.8824,Distance/34))))))))</f>
        <v>2.4205882352941175</v>
      </c>
      <c r="M18">
        <f t="shared" si="0"/>
        <v>5.4866666666666664</v>
      </c>
      <c r="N18" s="4">
        <f>IF(ISBLANK(Distance),"",Open_time Control_1+(INT(Open)&amp;":"&amp;IF(ROUND(((Open-INT(Open))*60),0)&lt;10,0,"")&amp;ROUND(((Open-INT(Open))*60),0)))</f>
        <v>45542.392361111109</v>
      </c>
      <c r="O18" s="4">
        <f>IF(ISBLANK(Distance),"",Open_time Control_1+(INT(Close)&amp;":"&amp;IF(ROUND(((Close-INT(Close))*60),0)&lt;10,0,"")&amp;ROUND(((Close-INT(Close))*60),0)))</f>
        <v>45542.520138888889</v>
      </c>
    </row>
    <row r="19" spans="2:26" ht="17" customHeight="1" x14ac:dyDescent="0.15">
      <c r="B19" s="38"/>
      <c r="C19" s="2" t="s">
        <v>8</v>
      </c>
      <c r="D19" s="15">
        <v>99.9</v>
      </c>
      <c r="E19" s="34" t="s">
        <v>86</v>
      </c>
      <c r="F19" s="35" t="s">
        <v>75</v>
      </c>
      <c r="G19" s="35" t="s">
        <v>103</v>
      </c>
      <c r="H19" s="36" t="s">
        <v>106</v>
      </c>
      <c r="I19" s="35" t="s">
        <v>104</v>
      </c>
      <c r="J19" s="35" t="s">
        <v>105</v>
      </c>
      <c r="K19" s="36"/>
      <c r="L19">
        <f t="shared" si="1"/>
        <v>2.9382352941176473</v>
      </c>
      <c r="M19">
        <f t="shared" si="0"/>
        <v>6.66</v>
      </c>
      <c r="N19" s="4">
        <f>IF(ISBLANK(Distance),"",Open_time Control_1+(INT(Open)&amp;":"&amp;IF(ROUND(((Open-INT(Open))*60),0)&lt;10,0,"")&amp;ROUND(((Open-INT(Open))*60),0)))</f>
        <v>45542.413888888885</v>
      </c>
      <c r="O19" s="4">
        <f>IF(ISBLANK(Distance),"",Open_time Control_1+(INT(Close)&amp;":"&amp;IF(ROUND(((Close-INT(Close))*60),0)&lt;10,0,"")&amp;ROUND(((Close-INT(Close))*60),0)))</f>
        <v>45542.569444444445</v>
      </c>
      <c r="Q19" s="40"/>
    </row>
    <row r="20" spans="2:26" ht="17" customHeight="1" x14ac:dyDescent="0.15">
      <c r="B20" s="38"/>
      <c r="C20" s="2" t="s">
        <v>9</v>
      </c>
      <c r="D20" s="15">
        <v>135.80000000000001</v>
      </c>
      <c r="E20" s="34" t="s">
        <v>87</v>
      </c>
      <c r="F20" s="35" t="s">
        <v>77</v>
      </c>
      <c r="G20" s="35" t="s">
        <v>88</v>
      </c>
      <c r="H20" s="36" t="s">
        <v>89</v>
      </c>
      <c r="I20" s="35"/>
      <c r="J20" s="35"/>
      <c r="K20" s="36"/>
      <c r="L20">
        <f t="shared" si="1"/>
        <v>3.994117647058824</v>
      </c>
      <c r="M20">
        <f t="shared" si="0"/>
        <v>9.0533333333333346</v>
      </c>
      <c r="N20" s="4">
        <f>IF(ISBLANK(Distance),"",Open_time Control_1+(INT(Open)&amp;":"&amp;IF(ROUND(((Open-INT(Open))*60),0)&lt;10,0,"")&amp;ROUND(((Open-INT(Open))*60),0)))</f>
        <v>45542.458333333328</v>
      </c>
      <c r="O20" s="4">
        <f>IF(ISBLANK(Distance),"",Open_time Control_1+(INT(Close)&amp;":"&amp;IF(ROUND(((Close-INT(Close))*60),0)&lt;10,0,"")&amp;ROUND(((Close-INT(Close))*60),0)))</f>
        <v>45542.668749999997</v>
      </c>
    </row>
    <row r="21" spans="2:26" ht="17" customHeight="1" x14ac:dyDescent="0.15">
      <c r="B21" s="38"/>
      <c r="C21" s="2" t="s">
        <v>10</v>
      </c>
      <c r="D21" s="15">
        <v>174.6</v>
      </c>
      <c r="E21" s="34" t="s">
        <v>90</v>
      </c>
      <c r="F21" s="35" t="s">
        <v>75</v>
      </c>
      <c r="G21" s="35" t="s">
        <v>91</v>
      </c>
      <c r="H21" s="36" t="s">
        <v>92</v>
      </c>
      <c r="I21" s="35" t="s">
        <v>93</v>
      </c>
      <c r="J21" s="35" t="s">
        <v>94</v>
      </c>
      <c r="K21" s="36"/>
      <c r="L21">
        <f t="shared" si="1"/>
        <v>5.1352941176470583</v>
      </c>
      <c r="M21">
        <f t="shared" si="0"/>
        <v>11.639999999999999</v>
      </c>
      <c r="N21" s="4">
        <f>IF(ISBLANK(Distance),"",Open_time Control_1+(INT(Open)&amp;":"&amp;IF(ROUND(((Open-INT(Open))*60),0)&lt;10,0,"")&amp;ROUND(((Open-INT(Open))*60),0)))</f>
        <v>45542.505555555552</v>
      </c>
      <c r="O21" s="4">
        <f>IF(ISBLANK(Distance),"",Open_time Control_1+(INT(Close)&amp;":"&amp;IF(ROUND(((Close-INT(Close))*60),0)&lt;10,0,"")&amp;ROUND(((Close-INT(Close))*60),0)))</f>
        <v>45542.776388888888</v>
      </c>
    </row>
    <row r="22" spans="2:26" ht="17" customHeight="1" x14ac:dyDescent="0.15">
      <c r="B22" s="38"/>
      <c r="C22" s="2" t="s">
        <v>11</v>
      </c>
      <c r="D22" s="15">
        <v>188.6</v>
      </c>
      <c r="E22" s="34" t="s">
        <v>95</v>
      </c>
      <c r="F22" s="35" t="s">
        <v>75</v>
      </c>
      <c r="G22" s="35" t="s">
        <v>91</v>
      </c>
      <c r="H22" s="36" t="s">
        <v>96</v>
      </c>
      <c r="I22" s="35" t="s">
        <v>97</v>
      </c>
      <c r="J22" s="35" t="s">
        <v>98</v>
      </c>
      <c r="K22" s="36" t="s">
        <v>99</v>
      </c>
      <c r="L22">
        <f t="shared" si="1"/>
        <v>5.5470588235294116</v>
      </c>
      <c r="M22">
        <f t="shared" si="0"/>
        <v>12.573333333333332</v>
      </c>
      <c r="N22" s="4">
        <f>IF(ISBLANK(Distance),"",Open_time Control_1+(INT(Open)&amp;":"&amp;IF(ROUND(((Open-INT(Open))*60),0)&lt;10,0,"")&amp;ROUND(((Open-INT(Open))*60),0)))</f>
        <v>45542.522916666661</v>
      </c>
      <c r="O22" s="4">
        <f>IF(ISBLANK(Distance),"",Open_time Control_1+(INT(Close)&amp;":"&amp;IF(ROUND(((Close-INT(Close))*60),0)&lt;10,0,"")&amp;ROUND(((Close-INT(Close))*60),0)))</f>
        <v>45542.815277777772</v>
      </c>
    </row>
    <row r="23" spans="2:26" ht="17" customHeight="1" x14ac:dyDescent="0.15">
      <c r="B23" s="38"/>
      <c r="C23" s="2" t="s">
        <v>12</v>
      </c>
      <c r="D23" s="15">
        <v>200.6</v>
      </c>
      <c r="E23" s="34" t="s">
        <v>76</v>
      </c>
      <c r="F23" s="35" t="s">
        <v>74</v>
      </c>
      <c r="G23" s="35" t="s">
        <v>80</v>
      </c>
      <c r="H23" s="36"/>
      <c r="I23" s="35"/>
      <c r="J23" s="35"/>
      <c r="K23" s="36"/>
      <c r="L23">
        <f t="shared" si="1"/>
        <v>5.9011499999999995</v>
      </c>
      <c r="M23">
        <f t="shared" si="0"/>
        <v>13.5</v>
      </c>
      <c r="N23" s="4">
        <f>IF(ISBLANK(Distance),"",Open_time Control_1+(INT(Open)&amp;":"&amp;IF(ROUND(((Open-INT(Open))*60),0)&lt;10,0,"")&amp;ROUND(((Open-INT(Open))*60),0)))</f>
        <v>45542.537499999999</v>
      </c>
      <c r="O23" s="4">
        <f>IF(ISBLANK(Distance),"",Open_time Control_1+(INT(Close)&amp;":"&amp;IF(ROUND(((Close-INT(Close))*60),0)&lt;10,0,"")&amp;ROUND(((Close-INT(Close))*60),0)))</f>
        <v>45542.854166666664</v>
      </c>
    </row>
    <row r="24" spans="2:26" ht="17" customHeight="1" thickBot="1" x14ac:dyDescent="0.2">
      <c r="B24" s="38"/>
      <c r="C24" s="2" t="s">
        <v>13</v>
      </c>
      <c r="D24" s="20"/>
      <c r="E24" s="37"/>
      <c r="F24" s="35"/>
      <c r="G24" s="35"/>
      <c r="H24" s="36"/>
      <c r="I24" s="35"/>
      <c r="J24" s="35"/>
      <c r="K24" s="36"/>
      <c r="L24" t="str">
        <f t="shared" si="1"/>
        <v/>
      </c>
      <c r="M24" t="str">
        <f t="shared" si="0"/>
        <v/>
      </c>
      <c r="N24" s="4" t="str">
        <f>IF(ISBLANK(Distance),"",Open_time Control_1+(INT(Open)&amp;":"&amp;IF(ROUND(((Open-INT(Open))*60),0)&lt;10,0,"")&amp;ROUND(((Open-INT(Open))*60),0)))</f>
        <v/>
      </c>
      <c r="O24" s="4" t="str">
        <f>IF(ISBLANK(Distance),"",Open_time Control_1+(INT(Close)&amp;":"&amp;IF(ROUND(((Close-INT(Close))*60),0)&lt;10,0,"")&amp;ROUND(((Close-INT(Close))*60),0)))</f>
        <v/>
      </c>
    </row>
    <row r="25" spans="2:26" ht="7" customHeight="1" thickBot="1" x14ac:dyDescent="0.25">
      <c r="D25" s="26"/>
      <c r="E25" s="27"/>
      <c r="F25" s="28"/>
      <c r="G25" s="28"/>
      <c r="H25" s="28"/>
      <c r="I25" s="28"/>
      <c r="J25" s="28"/>
      <c r="K25" s="29"/>
      <c r="N25" s="4"/>
      <c r="O25" s="4"/>
    </row>
    <row r="26" spans="2:26" ht="14" thickBot="1" x14ac:dyDescent="0.2">
      <c r="D26" s="104" t="s">
        <v>69</v>
      </c>
      <c r="E26" s="105"/>
      <c r="F26" s="105"/>
      <c r="G26" s="105"/>
      <c r="H26" s="105"/>
      <c r="I26" s="106" t="s">
        <v>70</v>
      </c>
      <c r="J26" s="105"/>
      <c r="K26" s="107"/>
    </row>
    <row r="27" spans="2:26" ht="14" thickBot="1" x14ac:dyDescent="0.2">
      <c r="D27" s="5" t="s">
        <v>21</v>
      </c>
      <c r="E27" s="6" t="s">
        <v>22</v>
      </c>
      <c r="F27" s="24" t="s">
        <v>23</v>
      </c>
      <c r="G27" s="24" t="s">
        <v>24</v>
      </c>
      <c r="H27" s="25" t="s">
        <v>25</v>
      </c>
      <c r="I27" s="6" t="s">
        <v>37</v>
      </c>
      <c r="J27" s="6" t="s">
        <v>38</v>
      </c>
      <c r="K27" s="7" t="s">
        <v>39</v>
      </c>
      <c r="L27" t="s">
        <v>0</v>
      </c>
      <c r="M27" t="s">
        <v>1</v>
      </c>
      <c r="N27" t="s">
        <v>2</v>
      </c>
      <c r="O27" t="s">
        <v>3</v>
      </c>
    </row>
    <row r="28" spans="2:26" ht="17" customHeight="1" x14ac:dyDescent="0.15">
      <c r="D28" s="15"/>
      <c r="E28" s="34"/>
      <c r="F28" s="35"/>
      <c r="G28" s="35"/>
      <c r="H28" s="36"/>
      <c r="I28" s="35"/>
      <c r="J28" s="35"/>
      <c r="K28" s="36"/>
      <c r="L28" t="str">
        <f>IF(ISBLANK(D28),"",IF(D28&gt;1000,(D28-1000)/26+33.0847,(IF(D28&gt;600,(D28-600)/28+18.799,(IF(D28&gt;400,(D28-400)/30+12.1324,(IF(D28&gt;200,(D28-200)/32+5.8824,D28/34))))))))</f>
        <v/>
      </c>
      <c r="M28" t="str">
        <f t="shared" ref="M28:M37" si="2">IF(ISBLANK(D28),"",IF((D28=0),1,IF(D28&gt;=brevet,IF(brevet&gt;1200,(brevet-1200)*75/1000+90,Max_time),IF(D28&gt;1200,(D28-1200)*75/1000+90,IF(D28&gt;1000,(D28-1000)/(1000/75)+75,IF(D28&gt;600,(D28-600)/(400/35)+40,IF(D28&lt;=60,D28/20+1,D28/15)))))))</f>
        <v/>
      </c>
      <c r="N28" s="4" t="str">
        <f>IF(ISBLANK(D28),"",Open_time Control_1+(INT(L28)&amp;":"&amp;IF(ROUND(((L28-INT(L28))*60),0)&lt;10,0,"")&amp;ROUND(((L28-INT(L28))*60),0)))</f>
        <v/>
      </c>
      <c r="O28" s="4" t="str">
        <f>IF(ISBLANK(D28),"",Open_time Control_1+(INT(M28)&amp;":"&amp;IF(ROUND(((M28-INT(M28))*60),0)&lt;10,0,"")&amp;ROUND(((M28-INT(M28))*60),0)))</f>
        <v/>
      </c>
    </row>
    <row r="29" spans="2:26" ht="17" customHeight="1" x14ac:dyDescent="0.15">
      <c r="D29" s="15"/>
      <c r="E29" s="34"/>
      <c r="F29" s="35"/>
      <c r="G29" s="35"/>
      <c r="H29" s="36"/>
      <c r="I29" s="35"/>
      <c r="J29" s="35"/>
      <c r="K29" s="36"/>
      <c r="L29" t="str">
        <f t="shared" ref="L29:L37" si="3">IF(ISBLANK(D29),"",IF(D29&gt;1000,(D29-1000)/26+33.0847,(IF(D29&gt;600,(D29-600)/28+18.799,(IF(D29&gt;400,(D29-400)/30+12.1324,(IF(D29&gt;200,(D29-200)/32+5.8824,D29/34))))))))</f>
        <v/>
      </c>
      <c r="M29" t="str">
        <f t="shared" si="2"/>
        <v/>
      </c>
      <c r="N29" s="4" t="str">
        <f>IF(ISBLANK(D29),"",Open_time Control_1+(INT(L29)&amp;":"&amp;IF(ROUND(((L29-INT(L29))*60),0)&lt;10,0,"")&amp;ROUND(((L29-INT(L29))*60),0)))</f>
        <v/>
      </c>
      <c r="O29" s="4" t="str">
        <f>IF(ISBLANK(D29),"",Open_time Control_1+(INT(M29)&amp;":"&amp;IF(ROUND(((M29-INT(M29))*60),0)&lt;10,0,"")&amp;ROUND(((M29-INT(M29))*60),0)))</f>
        <v/>
      </c>
    </row>
    <row r="30" spans="2:26" ht="17" customHeight="1" x14ac:dyDescent="0.15">
      <c r="D30" s="15"/>
      <c r="E30" s="34"/>
      <c r="F30" s="35"/>
      <c r="G30" s="35"/>
      <c r="H30" s="36"/>
      <c r="I30" s="35"/>
      <c r="J30" s="35"/>
      <c r="K30" s="36"/>
      <c r="L30" t="str">
        <f t="shared" si="3"/>
        <v/>
      </c>
      <c r="M30" t="str">
        <f t="shared" si="2"/>
        <v/>
      </c>
      <c r="N30" s="4" t="str">
        <f>IF(ISBLANK(D30),"",Open_time Control_1+(INT(L30)&amp;":"&amp;IF(ROUND(((L30-INT(L30))*60),0)&lt;10,0,"")&amp;ROUND(((L30-INT(L30))*60),0)))</f>
        <v/>
      </c>
      <c r="O30" s="4" t="str">
        <f>IF(ISBLANK(D30),"",Open_time Control_1+(INT(M30)&amp;":"&amp;IF(ROUND(((M30-INT(M30))*60),0)&lt;10,0,"")&amp;ROUND(((M30-INT(M30))*60),0)))</f>
        <v/>
      </c>
    </row>
    <row r="31" spans="2:26" ht="17" customHeight="1" x14ac:dyDescent="0.15">
      <c r="D31" s="15"/>
      <c r="E31" s="34"/>
      <c r="F31" s="35"/>
      <c r="G31" s="35"/>
      <c r="H31" s="36"/>
      <c r="I31" s="35"/>
      <c r="J31" s="35"/>
      <c r="K31" s="36"/>
      <c r="L31" t="str">
        <f t="shared" si="3"/>
        <v/>
      </c>
      <c r="M31" t="str">
        <f t="shared" si="2"/>
        <v/>
      </c>
      <c r="N31" s="4" t="str">
        <f>IF(ISBLANK(D31),"",Open_time Control_1+(INT(L31)&amp;":"&amp;IF(ROUND(((L31-INT(L31))*60),0)&lt;10,0,"")&amp;ROUND(((L31-INT(L31))*60),0)))</f>
        <v/>
      </c>
      <c r="O31" s="4" t="str">
        <f>IF(ISBLANK(D31),"",Open_time Control_1+(INT(M31)&amp;":"&amp;IF(ROUND(((M31-INT(M31))*60),0)&lt;10,0,"")&amp;ROUND(((M31-INT(M31))*60),0)))</f>
        <v/>
      </c>
    </row>
    <row r="32" spans="2:26" ht="17" customHeight="1" x14ac:dyDescent="0.15">
      <c r="D32" s="15"/>
      <c r="E32" s="34"/>
      <c r="F32" s="35"/>
      <c r="G32" s="35"/>
      <c r="H32" s="36"/>
      <c r="I32" s="35"/>
      <c r="J32" s="35"/>
      <c r="K32" s="36"/>
      <c r="L32" t="str">
        <f t="shared" si="3"/>
        <v/>
      </c>
      <c r="M32" t="str">
        <f t="shared" si="2"/>
        <v/>
      </c>
      <c r="N32" s="4" t="str">
        <f>IF(ISBLANK(D32),"",Open_time Control_1+(INT(L32)&amp;":"&amp;IF(ROUND(((L32-INT(L32))*60),0)&lt;10,0,"")&amp;ROUND(((L32-INT(L32))*60),0)))</f>
        <v/>
      </c>
      <c r="O32" s="4" t="str">
        <f>IF(ISBLANK(D32),"",Open_time Control_1+(INT(M32)&amp;":"&amp;IF(ROUND(((M32-INT(M32))*60),0)&lt;10,0,"")&amp;ROUND(((M32-INT(M32))*60),0)))</f>
        <v/>
      </c>
    </row>
    <row r="33" spans="4:15" ht="17" customHeight="1" x14ac:dyDescent="0.15">
      <c r="D33" s="15"/>
      <c r="E33" s="34"/>
      <c r="F33" s="35"/>
      <c r="G33" s="35"/>
      <c r="H33" s="36"/>
      <c r="I33" s="35"/>
      <c r="J33" s="35"/>
      <c r="K33" s="36"/>
      <c r="L33" t="str">
        <f t="shared" si="3"/>
        <v/>
      </c>
      <c r="M33" t="str">
        <f t="shared" si="2"/>
        <v/>
      </c>
      <c r="N33" s="4" t="str">
        <f>IF(ISBLANK(D33),"",Open_time Control_1+(INT(L33)&amp;":"&amp;IF(ROUND(((L33-INT(L33))*60),0)&lt;10,0,"")&amp;ROUND(((L33-INT(L33))*60),0)))</f>
        <v/>
      </c>
      <c r="O33" s="4" t="str">
        <f>IF(ISBLANK(D33),"",Open_time Control_1+(INT(M33)&amp;":"&amp;IF(ROUND(((M33-INT(M33))*60),0)&lt;10,0,"")&amp;ROUND(((M33-INT(M33))*60),0)))</f>
        <v/>
      </c>
    </row>
    <row r="34" spans="4:15" ht="17" customHeight="1" x14ac:dyDescent="0.15">
      <c r="D34" s="15"/>
      <c r="E34" s="34"/>
      <c r="F34" s="35"/>
      <c r="G34" s="35"/>
      <c r="H34" s="36"/>
      <c r="I34" s="35"/>
      <c r="J34" s="35"/>
      <c r="K34" s="36"/>
      <c r="L34" t="str">
        <f t="shared" si="3"/>
        <v/>
      </c>
      <c r="M34" t="str">
        <f t="shared" si="2"/>
        <v/>
      </c>
      <c r="N34" s="4" t="str">
        <f>IF(ISBLANK(D34),"",Open_time Control_1+(INT(L34)&amp;":"&amp;IF(ROUND(((L34-INT(L34))*60),0)&lt;10,0,"")&amp;ROUND(((L34-INT(L34))*60),0)))</f>
        <v/>
      </c>
      <c r="O34" s="4" t="str">
        <f>IF(ISBLANK(D34),"",Open_time Control_1+(INT(M34)&amp;":"&amp;IF(ROUND(((M34-INT(M34))*60),0)&lt;10,0,"")&amp;ROUND(((M34-INT(M34))*60),0)))</f>
        <v/>
      </c>
    </row>
    <row r="35" spans="4:15" ht="17" customHeight="1" x14ac:dyDescent="0.15">
      <c r="D35" s="15"/>
      <c r="E35" s="34"/>
      <c r="F35" s="35"/>
      <c r="G35" s="35"/>
      <c r="H35" s="36"/>
      <c r="I35" s="35"/>
      <c r="J35" s="35"/>
      <c r="K35" s="36"/>
      <c r="L35" t="str">
        <f t="shared" si="3"/>
        <v/>
      </c>
      <c r="M35" t="str">
        <f t="shared" si="2"/>
        <v/>
      </c>
      <c r="N35" s="4" t="str">
        <f>IF(ISBLANK(D35),"",Open_time Control_1+(INT(L35)&amp;":"&amp;IF(ROUND(((L35-INT(L35))*60),0)&lt;10,0,"")&amp;ROUND(((L35-INT(L35))*60),0)))</f>
        <v/>
      </c>
      <c r="O35" s="4" t="str">
        <f>IF(ISBLANK(D35),"",Open_time Control_1+(INT(M35)&amp;":"&amp;IF(ROUND(((M35-INT(M35))*60),0)&lt;10,0,"")&amp;ROUND(((M35-INT(M35))*60),0)))</f>
        <v/>
      </c>
    </row>
    <row r="36" spans="4:15" ht="17" customHeight="1" x14ac:dyDescent="0.15">
      <c r="D36" s="15"/>
      <c r="E36" s="34"/>
      <c r="F36" s="35"/>
      <c r="G36" s="35"/>
      <c r="H36" s="36"/>
      <c r="I36" s="35"/>
      <c r="J36" s="35"/>
      <c r="K36" s="36"/>
      <c r="L36" t="str">
        <f t="shared" si="3"/>
        <v/>
      </c>
      <c r="M36" t="str">
        <f t="shared" si="2"/>
        <v/>
      </c>
      <c r="N36" s="4" t="str">
        <f>IF(ISBLANK(D36),"",Open_time Control_1+(INT(L36)&amp;":"&amp;IF(ROUND(((L36-INT(L36))*60),0)&lt;10,0,"")&amp;ROUND(((L36-INT(L36))*60),0)))</f>
        <v/>
      </c>
      <c r="O36" s="4" t="str">
        <f>IF(ISBLANK(D36),"",Open_time Control_1+(INT(M36)&amp;":"&amp;IF(ROUND(((M36-INT(M36))*60),0)&lt;10,0,"")&amp;ROUND(((M36-INT(M36))*60),0)))</f>
        <v/>
      </c>
    </row>
    <row r="37" spans="4:15" ht="17" customHeight="1" thickBot="1" x14ac:dyDescent="0.2">
      <c r="D37" s="20"/>
      <c r="E37" s="34"/>
      <c r="F37" s="35"/>
      <c r="G37" s="35"/>
      <c r="H37" s="36"/>
      <c r="I37" s="35"/>
      <c r="J37" s="35"/>
      <c r="K37" s="36"/>
      <c r="L37" t="str">
        <f t="shared" si="3"/>
        <v/>
      </c>
      <c r="M37" t="str">
        <f t="shared" si="2"/>
        <v/>
      </c>
      <c r="N37" s="4" t="str">
        <f>IF(ISBLANK(D37),"",Open_time Control_1+(INT(L37)&amp;":"&amp;IF(ROUND(((L37-INT(L37))*60),0)&lt;10,0,"")&amp;ROUND(((L37-INT(L37))*60),0)))</f>
        <v/>
      </c>
      <c r="O37" s="4" t="str">
        <f>IF(ISBLANK(D37),"",Open_time Control_1+(INT(M37)&amp;":"&amp;IF(ROUND(((M37-INT(M37))*60),0)&lt;10,0,"")&amp;ROUND(((M37-INT(M37))*60),0)))</f>
        <v/>
      </c>
    </row>
  </sheetData>
  <sheetProtection algorithmName="SHA-512" hashValue="D8qywzNb40cUiVle2DcjUmxCsRIaO5HEQS3AFyML+XvcGNrr85HZL3oGkY7bVUKDPJKALNXAjH4Ou+WV1jzmcg==" saltValue="7U8Wfb5GFDUrDvVAN8JerA==" spinCount="100000" sheet="1" objects="1" scenarios="1" formatCells="0" selectLockedCells="1"/>
  <mergeCells count="8">
    <mergeCell ref="D26:H26"/>
    <mergeCell ref="I26:K26"/>
    <mergeCell ref="A1:G1"/>
    <mergeCell ref="B8:F8"/>
    <mergeCell ref="Q1:AF4"/>
    <mergeCell ref="J6:K6"/>
    <mergeCell ref="D13:H13"/>
    <mergeCell ref="I13:K13"/>
  </mergeCells>
  <phoneticPr fontId="13" type="noConversion"/>
  <pageMargins left="0.75" right="0.75" top="1" bottom="1" header="0.5" footer="0.5"/>
  <pageSetup orientation="portrait" horizontalDpi="4294967292" verticalDpi="4294967292"/>
  <headerFooter>
    <oddHeader>&amp;A</oddHeader>
    <oddFooter>Page &amp;P</oddFoot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14ED8-B2B3-3C4A-953E-40C153A6C07C}">
  <sheetPr>
    <pageSetUpPr fitToPage="1"/>
  </sheetPr>
  <dimension ref="B1:O57"/>
  <sheetViews>
    <sheetView zoomScale="115" zoomScaleNormal="115" zoomScalePageLayoutView="75" workbookViewId="0">
      <selection activeCell="G30" sqref="G30:I30"/>
    </sheetView>
  </sheetViews>
  <sheetFormatPr baseColWidth="10" defaultColWidth="8.83203125" defaultRowHeight="13" x14ac:dyDescent="0.15"/>
  <cols>
    <col min="1" max="1" width="1.83203125" customWidth="1"/>
    <col min="2" max="2" width="12.83203125" customWidth="1"/>
    <col min="3" max="4" width="15.83203125" customWidth="1"/>
    <col min="5" max="5" width="25.83203125" customWidth="1"/>
    <col min="6" max="6" width="40.83203125" customWidth="1"/>
    <col min="7" max="7" width="12.83203125" customWidth="1"/>
    <col min="8" max="8" width="25.83203125" customWidth="1"/>
    <col min="9" max="9" width="30.83203125" customWidth="1"/>
    <col min="10" max="10" width="25.83203125" customWidth="1"/>
    <col min="11" max="11" width="1.83203125" customWidth="1"/>
    <col min="12" max="12" width="8.83203125" customWidth="1"/>
  </cols>
  <sheetData>
    <row r="1" spans="2:15" x14ac:dyDescent="0.15">
      <c r="K1" s="75"/>
      <c r="L1" s="75"/>
      <c r="M1" s="75"/>
    </row>
    <row r="2" spans="2:15" ht="18" x14ac:dyDescent="0.2">
      <c r="C2" s="112" t="s">
        <v>33</v>
      </c>
      <c r="D2" s="112"/>
      <c r="E2" s="112"/>
      <c r="F2" s="112"/>
      <c r="G2" s="55"/>
      <c r="H2" s="55"/>
      <c r="I2" s="78" t="s">
        <v>58</v>
      </c>
      <c r="J2" s="79">
        <f>'Control Entry'!B4</f>
        <v>45536</v>
      </c>
      <c r="K2" s="55"/>
      <c r="L2" s="55"/>
    </row>
    <row r="3" spans="2:15" ht="45" customHeight="1" x14ac:dyDescent="0.45">
      <c r="D3" s="12"/>
      <c r="E3" s="121" t="s">
        <v>29</v>
      </c>
      <c r="F3" s="121"/>
      <c r="G3" s="121"/>
      <c r="H3" s="121"/>
      <c r="I3" s="66" t="s">
        <v>60</v>
      </c>
      <c r="J3" s="71">
        <f>IF(ISBLANK(Brevet_Number),"",Brevet_Number)</f>
        <v>5413</v>
      </c>
      <c r="K3" s="39"/>
      <c r="L3" s="39"/>
    </row>
    <row r="4" spans="2:15" ht="20" customHeight="1" x14ac:dyDescent="0.15">
      <c r="C4" s="12"/>
      <c r="E4" s="122" t="str">
        <f>IF(ISBLANK(Brevet_Length),"",Brevet_Length&amp;" km Randonnée")</f>
        <v>200 km Randonnée</v>
      </c>
      <c r="F4" s="122"/>
      <c r="G4" s="122"/>
      <c r="H4" s="122"/>
      <c r="K4" s="51"/>
      <c r="L4" s="51"/>
    </row>
    <row r="5" spans="2:15" ht="20" customHeight="1" x14ac:dyDescent="0.2">
      <c r="D5" s="52"/>
      <c r="E5" s="120" t="str">
        <f>IF(ISBLANK(Brevet_Description),"",Brevet_Description)</f>
        <v>Comox Valley Crisscross</v>
      </c>
      <c r="F5" s="120"/>
      <c r="G5" s="120"/>
      <c r="H5" s="120"/>
      <c r="I5" s="74"/>
      <c r="J5" s="52"/>
      <c r="K5" s="52"/>
      <c r="L5" s="52"/>
    </row>
    <row r="6" spans="2:15" ht="20" x14ac:dyDescent="0.2">
      <c r="D6" s="67"/>
      <c r="E6" s="120"/>
      <c r="F6" s="120"/>
      <c r="G6" s="120"/>
      <c r="H6" s="120"/>
      <c r="I6" s="74"/>
      <c r="J6" s="67"/>
      <c r="K6" s="52"/>
      <c r="L6" s="52"/>
    </row>
    <row r="7" spans="2:15" ht="25" customHeight="1" x14ac:dyDescent="0.15">
      <c r="C7" s="116"/>
      <c r="D7" s="116"/>
      <c r="E7" s="116"/>
      <c r="F7" s="116"/>
      <c r="H7" s="118"/>
    </row>
    <row r="8" spans="2:15" ht="21" thickBot="1" x14ac:dyDescent="0.25">
      <c r="B8" s="17" t="s">
        <v>61</v>
      </c>
      <c r="C8" s="117"/>
      <c r="D8" s="117"/>
      <c r="E8" s="117"/>
      <c r="F8" s="117"/>
      <c r="G8" s="17" t="s">
        <v>31</v>
      </c>
      <c r="H8" s="119"/>
      <c r="I8" s="53"/>
      <c r="J8" s="53"/>
      <c r="K8" s="53"/>
    </row>
    <row r="9" spans="2:15" ht="22" customHeight="1" x14ac:dyDescent="0.15">
      <c r="B9" s="58"/>
      <c r="C9" s="58"/>
      <c r="D9" s="58"/>
      <c r="E9" s="58"/>
      <c r="F9" s="54"/>
      <c r="G9" s="60"/>
      <c r="H9" s="60"/>
      <c r="I9" s="60"/>
      <c r="J9" s="54"/>
    </row>
    <row r="10" spans="2:15" ht="20" customHeight="1" x14ac:dyDescent="0.15">
      <c r="B10" s="114" t="s">
        <v>34</v>
      </c>
      <c r="C10" s="114"/>
      <c r="D10" s="64" t="s">
        <v>35</v>
      </c>
      <c r="E10" s="115" t="s">
        <v>57</v>
      </c>
      <c r="F10" s="115"/>
      <c r="G10" s="115"/>
      <c r="H10" s="70"/>
      <c r="I10" s="59"/>
      <c r="J10" s="59"/>
      <c r="K10" s="19"/>
      <c r="L10" s="123"/>
      <c r="M10" s="123"/>
      <c r="N10" s="123"/>
      <c r="O10" s="123"/>
    </row>
    <row r="11" spans="2:15" ht="23" x14ac:dyDescent="0.15">
      <c r="B11" s="58"/>
      <c r="C11" s="58" t="s">
        <v>73</v>
      </c>
      <c r="D11" s="58"/>
      <c r="E11" s="58"/>
      <c r="F11" s="54"/>
      <c r="G11" s="60"/>
      <c r="H11" s="60"/>
      <c r="I11" s="60"/>
      <c r="J11" s="54"/>
    </row>
    <row r="12" spans="2:15" ht="21" thickBot="1" x14ac:dyDescent="0.25">
      <c r="D12" s="137" t="s">
        <v>19</v>
      </c>
      <c r="E12" s="137"/>
      <c r="F12" s="69">
        <f>IF(ISBLANK('Control Entry'!B12),"",'Control Entry'!B12)</f>
        <v>45542</v>
      </c>
      <c r="G12" s="73"/>
      <c r="H12" s="17" t="s">
        <v>63</v>
      </c>
      <c r="I12" s="68">
        <f>IF(ISBLANK('Control Entry'!B13),"",'Control Entry'!B13)</f>
        <v>0.29166666666666669</v>
      </c>
      <c r="J12" s="23"/>
    </row>
    <row r="13" spans="2:15" ht="20" x14ac:dyDescent="0.2">
      <c r="D13" s="22"/>
      <c r="E13" s="22"/>
      <c r="F13" s="21"/>
      <c r="G13" s="21"/>
      <c r="H13" s="21"/>
      <c r="L13" s="23"/>
      <c r="M13" s="23"/>
      <c r="N13" s="23"/>
    </row>
    <row r="14" spans="2:15" ht="21" thickBot="1" x14ac:dyDescent="0.25">
      <c r="D14" s="137" t="s">
        <v>62</v>
      </c>
      <c r="E14" s="137"/>
      <c r="F14" s="69"/>
      <c r="G14" s="73"/>
      <c r="H14" s="17" t="s">
        <v>64</v>
      </c>
      <c r="I14" s="68"/>
      <c r="J14" s="23"/>
      <c r="L14" s="45"/>
      <c r="M14" s="45"/>
      <c r="N14" s="45"/>
    </row>
    <row r="15" spans="2:15" ht="20" x14ac:dyDescent="0.2">
      <c r="B15" s="22"/>
      <c r="C15" s="22"/>
      <c r="D15" s="21"/>
      <c r="E15" s="21"/>
      <c r="H15" s="21"/>
    </row>
    <row r="16" spans="2:15" ht="21" thickBot="1" x14ac:dyDescent="0.25">
      <c r="C16" s="65"/>
      <c r="D16" s="65"/>
      <c r="E16" s="65"/>
      <c r="F16" s="65"/>
      <c r="H16" s="17" t="s">
        <v>65</v>
      </c>
      <c r="I16" s="68"/>
      <c r="J16" s="23"/>
      <c r="L16" s="45"/>
      <c r="M16" s="45"/>
      <c r="N16" s="45"/>
    </row>
    <row r="17" spans="2:15" ht="20" x14ac:dyDescent="0.15">
      <c r="C17" s="138" t="s">
        <v>14</v>
      </c>
      <c r="D17" s="138"/>
      <c r="E17" s="138"/>
      <c r="F17" s="138"/>
      <c r="G17" s="19"/>
      <c r="H17" s="19"/>
      <c r="I17" s="133"/>
      <c r="J17" s="133"/>
      <c r="K17" s="19"/>
      <c r="L17" s="123"/>
      <c r="M17" s="123"/>
      <c r="N17" s="123"/>
      <c r="O17" s="123"/>
    </row>
    <row r="18" spans="2:15" ht="6" customHeight="1" thickBot="1" x14ac:dyDescent="0.2">
      <c r="B18" s="61"/>
      <c r="C18" s="61"/>
      <c r="D18" s="61"/>
      <c r="E18" s="61"/>
      <c r="F18" s="62"/>
      <c r="G18" s="63"/>
      <c r="H18" s="63"/>
      <c r="I18" s="63"/>
      <c r="J18" s="62"/>
    </row>
    <row r="19" spans="2:15" ht="22" thickTop="1" thickBot="1" x14ac:dyDescent="0.2">
      <c r="B19" s="113" t="s">
        <v>50</v>
      </c>
      <c r="C19" s="113"/>
      <c r="D19" s="113"/>
      <c r="E19" s="113"/>
      <c r="F19" s="113"/>
      <c r="G19" s="113"/>
      <c r="H19" s="113"/>
      <c r="I19" s="113"/>
      <c r="J19" s="113"/>
    </row>
    <row r="20" spans="2:15" ht="20" thickBot="1" x14ac:dyDescent="0.25">
      <c r="B20" s="50" t="s">
        <v>26</v>
      </c>
      <c r="C20" s="8" t="s">
        <v>0</v>
      </c>
      <c r="D20" s="8" t="s">
        <v>1</v>
      </c>
      <c r="E20" s="8" t="s">
        <v>22</v>
      </c>
      <c r="F20" s="8" t="s">
        <v>27</v>
      </c>
      <c r="G20" s="134" t="s">
        <v>36</v>
      </c>
      <c r="H20" s="135"/>
      <c r="I20" s="136"/>
      <c r="J20" s="50" t="s">
        <v>28</v>
      </c>
    </row>
    <row r="21" spans="2:15" ht="40" customHeight="1" x14ac:dyDescent="0.25">
      <c r="B21" s="89"/>
      <c r="C21" s="101">
        <f>Control_1 Open_time</f>
        <v>45542.291666666664</v>
      </c>
      <c r="D21" s="101">
        <f>Control_1 Close_time</f>
        <v>45542.333333333328</v>
      </c>
      <c r="E21" s="90"/>
      <c r="F21" s="91" t="str">
        <f>IF(ISBLANK(Control_1 Establishment_1),"",Control_1 Establishment_1)</f>
        <v>STAFFED</v>
      </c>
      <c r="G21" s="127" t="str">
        <f>IF(ISBLANK('Control Entry'!I15),"",'Control Entry'!I15)</f>
        <v/>
      </c>
      <c r="H21" s="128"/>
      <c r="I21" s="129"/>
      <c r="J21" s="92"/>
    </row>
    <row r="22" spans="2:15" ht="40" customHeight="1" x14ac:dyDescent="0.25">
      <c r="B22" s="93">
        <f>IF(ISBLANK(Distance Control_1),"",Control_1 Distance)</f>
        <v>0</v>
      </c>
      <c r="C22" s="94">
        <f>Control_1 Open_time</f>
        <v>45542.291666666664</v>
      </c>
      <c r="D22" s="94">
        <f>Control_1 Close_time</f>
        <v>45542.333333333328</v>
      </c>
      <c r="E22" s="91" t="str">
        <f>IF(ISBLANK(Locale Control_1),"",Locale Control_1)</f>
        <v>COURTENAY</v>
      </c>
      <c r="F22" s="91" t="str">
        <f>IF(ISBLANK(Control_1 Establishment_2),"",Control_1 Establishment_2)</f>
        <v>1744A Piercy Ave</v>
      </c>
      <c r="G22" s="130" t="str">
        <f>IF(ISBLANK('Control Entry'!J15),"",'Control Entry'!J15)</f>
        <v/>
      </c>
      <c r="H22" s="131"/>
      <c r="I22" s="132"/>
      <c r="J22" s="95"/>
    </row>
    <row r="23" spans="2:15" ht="40" customHeight="1" thickBot="1" x14ac:dyDescent="0.3">
      <c r="B23" s="96"/>
      <c r="C23" s="102">
        <f>Control_1 Open_time</f>
        <v>45542.291666666664</v>
      </c>
      <c r="D23" s="102">
        <f>Control_1 Close_time</f>
        <v>45542.333333333328</v>
      </c>
      <c r="E23" s="97"/>
      <c r="F23" s="98" t="str">
        <f>IF(ISBLANK(Control_1 Establishment_3),"",Control_1 Establishment_3)</f>
        <v/>
      </c>
      <c r="G23" s="124" t="str">
        <f>IF(ISBLANK('Control Entry'!K15),"",'Control Entry'!K15)</f>
        <v/>
      </c>
      <c r="H23" s="125"/>
      <c r="I23" s="126"/>
      <c r="J23" s="99"/>
    </row>
    <row r="24" spans="2:15" ht="40" customHeight="1" x14ac:dyDescent="0.25">
      <c r="B24" s="89"/>
      <c r="C24" s="101">
        <f>Control_2 Open_time</f>
        <v>45542.309027777774</v>
      </c>
      <c r="D24" s="101">
        <f>Control_2 Close_time</f>
        <v>45542.363194444442</v>
      </c>
      <c r="E24" s="100"/>
      <c r="F24" s="91" t="str">
        <f>IF(ISBLANK(Control_2 Establishment_1),"",Control_2 Establishment_1)</f>
        <v>INFORMATION</v>
      </c>
      <c r="G24" s="127" t="str">
        <f>IF(ISBLANK('Control Entry'!I16),"",'Control Entry'!I16)</f>
        <v>How many concrete pillars under sign?</v>
      </c>
      <c r="H24" s="128"/>
      <c r="I24" s="129"/>
      <c r="J24" s="92"/>
    </row>
    <row r="25" spans="2:15" ht="40" customHeight="1" x14ac:dyDescent="0.25">
      <c r="B25" s="93">
        <f>IF(ISBLANK(Distance Control_2),"",Control_2 Distance)</f>
        <v>14.4</v>
      </c>
      <c r="C25" s="94">
        <f>Control_2 Open_time</f>
        <v>45542.309027777774</v>
      </c>
      <c r="D25" s="94">
        <f>Control_2 Close_time</f>
        <v>45542.363194444442</v>
      </c>
      <c r="E25" s="91" t="str">
        <f>IF(ISBLANK(Locale Control_2),"",Locale Control_2)</f>
        <v>BEVAN</v>
      </c>
      <c r="F25" s="143" t="str">
        <f>IF(ISBLANK(Control_2 Establishment_2),"",Control_2 Establishment_2)</f>
        <v>Frist driveway on left after end of gravel</v>
      </c>
      <c r="G25" s="130" t="str">
        <f>IF(ISBLANK('Control Entry'!J16),"",'Control Entry'!J16)</f>
        <v/>
      </c>
      <c r="H25" s="131"/>
      <c r="I25" s="132"/>
      <c r="J25" s="95"/>
    </row>
    <row r="26" spans="2:15" ht="40" customHeight="1" thickBot="1" x14ac:dyDescent="0.3">
      <c r="B26" s="96"/>
      <c r="C26" s="102">
        <f>Control_2 Open_time</f>
        <v>45542.309027777774</v>
      </c>
      <c r="D26" s="102">
        <f>Control_2 Close_time</f>
        <v>45542.363194444442</v>
      </c>
      <c r="E26" s="97"/>
      <c r="F26" s="98" t="str">
        <f>IF(ISBLANK(Control_2 Establishment_3),"",Control_2 Establishment_3)</f>
        <v>4791 Lake Trail Rd</v>
      </c>
      <c r="G26" s="124" t="str">
        <f>IF(ISBLANK('Control Entry'!K16),"",'Control Entry'!K16)</f>
        <v/>
      </c>
      <c r="H26" s="125"/>
      <c r="I26" s="126"/>
      <c r="J26" s="99"/>
    </row>
    <row r="27" spans="2:15" ht="40" customHeight="1" x14ac:dyDescent="0.25">
      <c r="B27" s="89"/>
      <c r="C27" s="101">
        <f>Control_3 Open_time</f>
        <v>45542.343055555553</v>
      </c>
      <c r="D27" s="101">
        <f>Control_3 Close_time</f>
        <v>45542.420138888883</v>
      </c>
      <c r="E27" s="100"/>
      <c r="F27" s="91" t="str">
        <f>IF(ISBLANK(Control_3 Establishment_1),"",Control_3 Establishment_1)</f>
        <v>INFORMATION</v>
      </c>
      <c r="G27" s="127" t="str">
        <f>IF(ISBLANK('Control Entry'!I17),"",'Control Entry'!I17)</f>
        <v>By crosswalk at far end of  loop</v>
      </c>
      <c r="H27" s="128"/>
      <c r="I27" s="129"/>
      <c r="J27" s="92"/>
    </row>
    <row r="28" spans="2:15" ht="40" customHeight="1" x14ac:dyDescent="0.25">
      <c r="B28" s="93">
        <f>IF(ISBLANK(Distance Control_3),"",Control_3 Distance)</f>
        <v>41.8</v>
      </c>
      <c r="C28" s="94">
        <f>Control_3 Open_time</f>
        <v>45542.343055555553</v>
      </c>
      <c r="D28" s="94">
        <f>Control_3 Close_time</f>
        <v>45542.420138888883</v>
      </c>
      <c r="E28" s="91" t="str">
        <f>IF(ISBLANK(Locale Control_3),"",Locale Control_3)</f>
        <v>BUCKLEY BAY</v>
      </c>
      <c r="F28" s="91" t="str">
        <f>IF(ISBLANK(Control_3 Establishment_2),"",Control_3 Establishment_2)</f>
        <v>Rest Area</v>
      </c>
      <c r="G28" s="130" t="str">
        <f>IF(ISBLANK('Control Entry'!J17),"",'Control Entry'!J17)</f>
        <v>Large rock with graffiti.  Shannon hearts ________?</v>
      </c>
      <c r="H28" s="131"/>
      <c r="I28" s="132"/>
      <c r="J28" s="95"/>
    </row>
    <row r="29" spans="2:15" ht="40" customHeight="1" thickBot="1" x14ac:dyDescent="0.3">
      <c r="B29" s="96"/>
      <c r="C29" s="102">
        <f>Control_3 Open_time</f>
        <v>45542.343055555553</v>
      </c>
      <c r="D29" s="102">
        <f>Control_3 Close_time</f>
        <v>45542.420138888883</v>
      </c>
      <c r="E29" s="97"/>
      <c r="F29" s="98" t="str">
        <f>IF(ISBLANK(Control_3 Establishment_3),"",Control_3 Establishment_3)</f>
        <v>6866 Buckley Bay Rd</v>
      </c>
      <c r="G29" s="124" t="str">
        <f>IF(ISBLANK('Control Entry'!K17),"",'Control Entry'!K17)</f>
        <v/>
      </c>
      <c r="H29" s="125"/>
      <c r="I29" s="126"/>
      <c r="J29" s="99"/>
    </row>
    <row r="30" spans="2:15" ht="40" customHeight="1" x14ac:dyDescent="0.25">
      <c r="B30" s="89"/>
      <c r="C30" s="101">
        <f>Control_4 Open_time</f>
        <v>45542.392361111109</v>
      </c>
      <c r="D30" s="101">
        <f>Control_4 Close_time</f>
        <v>45542.520138888889</v>
      </c>
      <c r="E30" s="100"/>
      <c r="F30" s="91" t="str">
        <f>IF(ISBLANK(Control_4 Establishment_1),"",Control_4 Establishment_1)</f>
        <v>INFORMATION</v>
      </c>
      <c r="G30" s="127" t="str">
        <f>IF(ISBLANK('Control Entry'!I18),"",'Control Entry'!I18)</f>
        <v>Fire hydrant in front of resort sign</v>
      </c>
      <c r="H30" s="128"/>
      <c r="I30" s="129"/>
      <c r="J30" s="92"/>
    </row>
    <row r="31" spans="2:15" ht="40" customHeight="1" x14ac:dyDescent="0.25">
      <c r="B31" s="93">
        <f>IF(ISBLANK(Distance Control_4),"",Control_4 Distance)</f>
        <v>82.3</v>
      </c>
      <c r="C31" s="94">
        <f>Control_4 Open_time</f>
        <v>45542.392361111109</v>
      </c>
      <c r="D31" s="94">
        <f>Control_4 Close_time</f>
        <v>45542.520138888889</v>
      </c>
      <c r="E31" s="91" t="str">
        <f>IF(ISBLANK(Locale Control_4),"",Locale Control_4)</f>
        <v>COMOX</v>
      </c>
      <c r="F31" s="91" t="str">
        <f>IF(ISBLANK(Control_4 Establishment_2),"",Control_4 Establishment_2)</f>
        <v>Crown Isle Resort entrance</v>
      </c>
      <c r="G31" s="130" t="str">
        <f>IF(ISBLANK('Control Entry'!J18),"",'Control Entry'!J18)</f>
        <v>What colour?</v>
      </c>
      <c r="H31" s="131"/>
      <c r="I31" s="132"/>
      <c r="J31" s="95"/>
    </row>
    <row r="32" spans="2:15" ht="40" customHeight="1" thickBot="1" x14ac:dyDescent="0.3">
      <c r="B32" s="96"/>
      <c r="C32" s="102">
        <f>Control_4 Open_time</f>
        <v>45542.392361111109</v>
      </c>
      <c r="D32" s="102">
        <f>Control_4 Close_time</f>
        <v>45542.520138888889</v>
      </c>
      <c r="E32" s="97"/>
      <c r="F32" s="144" t="str">
        <f>IF(ISBLANK(Control_4 Establishment_3),"",Control_4 Establishment_3)</f>
        <v>Crown Isle Dr @ Club House Dr/Bristol Way</v>
      </c>
      <c r="G32" s="124" t="str">
        <f>IF(ISBLANK('Control Entry'!K18),"",'Control Entry'!K18)</f>
        <v/>
      </c>
      <c r="H32" s="125"/>
      <c r="I32" s="126"/>
      <c r="J32" s="99"/>
    </row>
    <row r="33" spans="2:10" ht="40" customHeight="1" x14ac:dyDescent="0.25">
      <c r="B33" s="89"/>
      <c r="C33" s="101">
        <f>Control_5 Open_time</f>
        <v>45542.413888888885</v>
      </c>
      <c r="D33" s="101">
        <f>Control_5 Close_time</f>
        <v>45542.569444444445</v>
      </c>
      <c r="E33" s="100"/>
      <c r="F33" s="91" t="str">
        <f>IF(ISBLANK(Control_5 Establishment_1),"",Control_5 Establishment_1)</f>
        <v>INFORMATION</v>
      </c>
      <c r="G33" s="127" t="str">
        <f>IF(ISBLANK('Control Entry'!I19),"",'Control Entry'!I19)</f>
        <v>Pole on right facing water</v>
      </c>
      <c r="H33" s="128"/>
      <c r="I33" s="129"/>
      <c r="J33" s="92"/>
    </row>
    <row r="34" spans="2:10" ht="40" customHeight="1" x14ac:dyDescent="0.25">
      <c r="B34" s="93">
        <f>IF(ISBLANK(Distance Control_5),"",Control_5 Distance)</f>
        <v>99.9</v>
      </c>
      <c r="C34" s="94">
        <f>Control_5 Open_time</f>
        <v>45542.413888888885</v>
      </c>
      <c r="D34" s="94">
        <f>Control_5 Close_time</f>
        <v>45542.569444444445</v>
      </c>
      <c r="E34" s="91" t="str">
        <f>IF(ISBLANK(Locale Control_5),"",Locale Control_5)</f>
        <v>LITTLE RIVER</v>
      </c>
      <c r="F34" s="91" t="str">
        <f>IF(ISBLANK(Control_5 Establishment_2),"",Control_5 Establishment_2)</f>
        <v>Singing Sands Beach Access</v>
      </c>
      <c r="G34" s="130" t="str">
        <f>IF(ISBLANK('Control Entry'!J19),"",'Control Entry'!J19)</f>
        <v>"No fires and/or _____??_____on beach…"</v>
      </c>
      <c r="H34" s="131"/>
      <c r="I34" s="132"/>
      <c r="J34" s="95"/>
    </row>
    <row r="35" spans="2:10" ht="40" customHeight="1" thickBot="1" x14ac:dyDescent="0.3">
      <c r="B35" s="96"/>
      <c r="C35" s="102">
        <f>Control_5 Open_time</f>
        <v>45542.413888888885</v>
      </c>
      <c r="D35" s="102">
        <f>Control_5 Close_time</f>
        <v>45542.569444444445</v>
      </c>
      <c r="E35" s="97"/>
      <c r="F35" s="98" t="str">
        <f>IF(ISBLANK(Control_5 Establishment_3),"",Control_5 Establishment_3)</f>
        <v>(end of road)</v>
      </c>
      <c r="G35" s="124" t="str">
        <f>IF(ISBLANK('Control Entry'!K19),"",'Control Entry'!K19)</f>
        <v/>
      </c>
      <c r="H35" s="125"/>
      <c r="I35" s="126"/>
      <c r="J35" s="99"/>
    </row>
    <row r="36" spans="2:10" ht="40" customHeight="1" x14ac:dyDescent="0.25">
      <c r="B36" s="89"/>
      <c r="C36" s="101">
        <f>Control_6 Open_time</f>
        <v>45542.458333333328</v>
      </c>
      <c r="D36" s="101">
        <f>Control_6 Close_time</f>
        <v>45542.668749999997</v>
      </c>
      <c r="E36" s="100"/>
      <c r="F36" s="91" t="str">
        <f>IF(ISBLANK(Control_6 Establishment_1),"",Control_6 Establishment_1)</f>
        <v>BUSINESS</v>
      </c>
      <c r="G36" s="127" t="str">
        <f>IF(ISBLANK('Control Entry'!I20),"",'Control Entry'!I20)</f>
        <v/>
      </c>
      <c r="H36" s="128"/>
      <c r="I36" s="129"/>
      <c r="J36" s="92"/>
    </row>
    <row r="37" spans="2:10" ht="40" customHeight="1" x14ac:dyDescent="0.25">
      <c r="B37" s="93">
        <f>IF(ISBLANK(Distance Control_6),"",Control_6 Distance)</f>
        <v>135.80000000000001</v>
      </c>
      <c r="C37" s="94">
        <f>Control_6 Open_time</f>
        <v>45542.458333333328</v>
      </c>
      <c r="D37" s="94">
        <f>Control_6 Close_time</f>
        <v>45542.668749999997</v>
      </c>
      <c r="E37" s="91" t="str">
        <f>IF(ISBLANK(Locale Control_6),"",Locale Control_6)</f>
        <v>OYSTER RIVER</v>
      </c>
      <c r="F37" s="91" t="str">
        <f>IF(ISBLANK(Control_6 Establishment_2),"",Control_6 Establishment_2)</f>
        <v>Your choice</v>
      </c>
      <c r="G37" s="130" t="str">
        <f>IF(ISBLANK('Control Entry'!J20),"",'Control Entry'!J20)</f>
        <v/>
      </c>
      <c r="H37" s="131"/>
      <c r="I37" s="132"/>
      <c r="J37" s="95"/>
    </row>
    <row r="38" spans="2:10" ht="40" customHeight="1" thickBot="1" x14ac:dyDescent="0.3">
      <c r="B38" s="96"/>
      <c r="C38" s="102">
        <f>Control_6 Open_time</f>
        <v>45542.458333333328</v>
      </c>
      <c r="D38" s="102">
        <f>Control_6 Close_time</f>
        <v>45542.668749999997</v>
      </c>
      <c r="E38" s="97"/>
      <c r="F38" s="98" t="str">
        <f>IF(ISBLANK(Control_6 Establishment_3),"",Control_6 Establishment_3)</f>
        <v>Discovery Foods Plaza</v>
      </c>
      <c r="G38" s="124" t="str">
        <f>IF(ISBLANK('Control Entry'!K20),"",'Control Entry'!K20)</f>
        <v/>
      </c>
      <c r="H38" s="125"/>
      <c r="I38" s="126"/>
      <c r="J38" s="99"/>
    </row>
    <row r="39" spans="2:10" ht="40" customHeight="1" x14ac:dyDescent="0.25">
      <c r="B39" s="89"/>
      <c r="C39" s="101">
        <f>Control_7 Open_time</f>
        <v>45542.505555555552</v>
      </c>
      <c r="D39" s="101">
        <f>Control_7 Close_time</f>
        <v>45542.776388888888</v>
      </c>
      <c r="E39" s="100"/>
      <c r="F39" s="91" t="str">
        <f>IF(ISBLANK(Control_7 Establishment_1),"",Control_7 Establishment_1)</f>
        <v>INFORMATION</v>
      </c>
      <c r="G39" s="127" t="str">
        <f>IF(ISBLANK('Control Entry'!I21),"",'Control Entry'!I21)</f>
        <v>Back of stop sign, seen from Dove Ck</v>
      </c>
      <c r="H39" s="128"/>
      <c r="I39" s="129"/>
      <c r="J39" s="92"/>
    </row>
    <row r="40" spans="2:10" ht="40" customHeight="1" x14ac:dyDescent="0.25">
      <c r="B40" s="93">
        <f>IF(ISBLANK(Distance Control_7),"",Control_7 Distance)</f>
        <v>174.6</v>
      </c>
      <c r="C40" s="94">
        <f>Control_7 Open_time</f>
        <v>45542.505555555552</v>
      </c>
      <c r="D40" s="94">
        <f>Control_7 Close_time</f>
        <v>45542.776388888888</v>
      </c>
      <c r="E40" s="91" t="str">
        <f>IF(ISBLANK(Locale Control_7),"",Locale Control_7)</f>
        <v>HEADQUARTERS</v>
      </c>
      <c r="F40" s="91" t="str">
        <f>IF(ISBLANK(Control_7 Establishment_2),"",Control_7 Establishment_2)</f>
        <v>Stop Sign</v>
      </c>
      <c r="G40" s="130" t="str">
        <f>IF(ISBLANK('Control Entry'!J21),"",'Control Entry'!J21)</f>
        <v>What number?</v>
      </c>
      <c r="H40" s="131"/>
      <c r="I40" s="132"/>
      <c r="J40" s="95"/>
    </row>
    <row r="41" spans="2:10" ht="40" customHeight="1" thickBot="1" x14ac:dyDescent="0.3">
      <c r="B41" s="96"/>
      <c r="C41" s="102">
        <f>Control_7 Open_time</f>
        <v>45542.505555555552</v>
      </c>
      <c r="D41" s="102">
        <f>Control_7 Close_time</f>
        <v>45542.776388888888</v>
      </c>
      <c r="E41" s="97"/>
      <c r="F41" s="98" t="str">
        <f>IF(ISBLANK(Control_7 Establishment_3),"",Control_7 Establishment_3)</f>
        <v>S. Farnham Rd @ Dove Creek Rd</v>
      </c>
      <c r="G41" s="124" t="str">
        <f>IF(ISBLANK('Control Entry'!K21),"",'Control Entry'!K21)</f>
        <v/>
      </c>
      <c r="H41" s="125"/>
      <c r="I41" s="126"/>
      <c r="J41" s="99"/>
    </row>
    <row r="42" spans="2:10" ht="40" customHeight="1" x14ac:dyDescent="0.25">
      <c r="B42" s="89"/>
      <c r="C42" s="101">
        <f>Control_8 Open_time</f>
        <v>45542.522916666661</v>
      </c>
      <c r="D42" s="101">
        <f>Control_8 Close_time</f>
        <v>45542.815277777772</v>
      </c>
      <c r="E42" s="100"/>
      <c r="F42" s="91" t="str">
        <f>IF(ISBLANK(Control_8 Establishment_1),"",Control_8 Establishment_1)</f>
        <v>INFORMATION</v>
      </c>
      <c r="G42" s="127" t="str">
        <f>IF(ISBLANK('Control Entry'!I22),"",'Control Entry'!I22)</f>
        <v>Crosswalk across hwy</v>
      </c>
      <c r="H42" s="128"/>
      <c r="I42" s="129"/>
      <c r="J42" s="92"/>
    </row>
    <row r="43" spans="2:10" ht="40" customHeight="1" x14ac:dyDescent="0.25">
      <c r="B43" s="93">
        <f>IF(ISBLANK(Distance Control_8),"",Control_8 Distance)</f>
        <v>188.6</v>
      </c>
      <c r="C43" s="94">
        <f>Control_8 Open_time</f>
        <v>45542.522916666661</v>
      </c>
      <c r="D43" s="94">
        <f>Control_8 Close_time</f>
        <v>45542.815277777772</v>
      </c>
      <c r="E43" s="91" t="str">
        <f>IF(ISBLANK(Locale Control_8),"",Locale Control_8)</f>
        <v>GRANTHAM</v>
      </c>
      <c r="F43" s="91" t="str">
        <f>IF(ISBLANK(Control_8 Establishment_2),"",Control_8 Establishment_2)</f>
        <v>Stop Sign</v>
      </c>
      <c r="G43" s="130" t="str">
        <f>IF(ISBLANK('Control Entry'!J22),"",'Control Entry'!J22)</f>
        <v>On which side of Smith?</v>
      </c>
      <c r="H43" s="131"/>
      <c r="I43" s="132"/>
      <c r="J43" s="95"/>
    </row>
    <row r="44" spans="2:10" ht="40" customHeight="1" thickBot="1" x14ac:dyDescent="0.3">
      <c r="B44" s="96"/>
      <c r="C44" s="102">
        <f>Control_8 Open_time</f>
        <v>45542.522916666661</v>
      </c>
      <c r="D44" s="102">
        <f>Control_8 Close_time</f>
        <v>45542.815277777772</v>
      </c>
      <c r="E44" s="97"/>
      <c r="F44" s="98" t="str">
        <f>IF(ISBLANK(Control_8 Establishment_3),"",Control_8 Establishment_3)</f>
        <v>Smith Rd @ Island Hwy</v>
      </c>
      <c r="G44" s="124" t="str">
        <f>IF(ISBLANK('Control Entry'!K22),"",'Control Entry'!K22)</f>
        <v>LEFT       No crosswalk       RIGHT</v>
      </c>
      <c r="H44" s="125"/>
      <c r="I44" s="126"/>
      <c r="J44" s="99"/>
    </row>
    <row r="45" spans="2:10" ht="40" customHeight="1" x14ac:dyDescent="0.25">
      <c r="B45" s="89"/>
      <c r="C45" s="101">
        <f>Control_9 Open_time</f>
        <v>45542.537499999999</v>
      </c>
      <c r="D45" s="101">
        <f>Control_9 Close_time</f>
        <v>45542.854166666664</v>
      </c>
      <c r="E45" s="100"/>
      <c r="F45" s="91" t="str">
        <f>IF(ISBLANK(Control_9 Establishment_1),"",Control_9 Establishment_1)</f>
        <v>STAFFED</v>
      </c>
      <c r="G45" s="127" t="str">
        <f>IF(ISBLANK('Control Entry'!I23),"",'Control Entry'!I23)</f>
        <v/>
      </c>
      <c r="H45" s="128"/>
      <c r="I45" s="129"/>
      <c r="J45" s="92"/>
    </row>
    <row r="46" spans="2:10" ht="40" customHeight="1" x14ac:dyDescent="0.25">
      <c r="B46" s="93">
        <f>IF(ISBLANK(Distance Control_9),"",Control_9 Distance)</f>
        <v>200.6</v>
      </c>
      <c r="C46" s="94">
        <f>Control_9 Open_time</f>
        <v>45542.537499999999</v>
      </c>
      <c r="D46" s="94">
        <f>Control_9 Close_time</f>
        <v>45542.854166666664</v>
      </c>
      <c r="E46" s="91" t="str">
        <f>IF(ISBLANK(Locale Control_9),"",Locale Control_9)</f>
        <v>COURTENAY</v>
      </c>
      <c r="F46" s="91" t="str">
        <f>IF(ISBLANK(Control_9 Establishment_2),"",Control_9 Establishment_2)</f>
        <v>1744A Piercy Ave</v>
      </c>
      <c r="G46" s="130" t="str">
        <f>IF(ISBLANK('Control Entry'!J23),"",'Control Entry'!J23)</f>
        <v/>
      </c>
      <c r="H46" s="131"/>
      <c r="I46" s="132"/>
      <c r="J46" s="95"/>
    </row>
    <row r="47" spans="2:10" ht="40" customHeight="1" thickBot="1" x14ac:dyDescent="0.3">
      <c r="B47" s="96"/>
      <c r="C47" s="102">
        <f>Control_9 Open_time</f>
        <v>45542.537499999999</v>
      </c>
      <c r="D47" s="102">
        <f>Control_9 Close_time</f>
        <v>45542.854166666664</v>
      </c>
      <c r="E47" s="97"/>
      <c r="F47" s="98" t="str">
        <f>IF(ISBLANK(Control_9 Establishment_3),"",Control_9 Establishment_3)</f>
        <v/>
      </c>
      <c r="G47" s="124" t="str">
        <f>IF(ISBLANK('Control Entry'!K23),"",'Control Entry'!K23)</f>
        <v/>
      </c>
      <c r="H47" s="125"/>
      <c r="I47" s="126"/>
      <c r="J47" s="99"/>
    </row>
    <row r="48" spans="2:10" ht="40" customHeight="1" x14ac:dyDescent="0.25">
      <c r="B48" s="89"/>
      <c r="C48" s="101" t="str">
        <f>Control_10 Open_time</f>
        <v/>
      </c>
      <c r="D48" s="101" t="str">
        <f>Control_10 Close_time</f>
        <v/>
      </c>
      <c r="E48" s="100"/>
      <c r="F48" s="91" t="str">
        <f>IF(ISBLANK(Control_10 Establishment_1),"",Control_10 Establishment_1)</f>
        <v/>
      </c>
      <c r="G48" s="127" t="str">
        <f>IF(ISBLANK('Control Entry'!I24),"",'Control Entry'!I24)</f>
        <v/>
      </c>
      <c r="H48" s="128"/>
      <c r="I48" s="129"/>
      <c r="J48" s="92"/>
    </row>
    <row r="49" spans="2:11" ht="40" customHeight="1" x14ac:dyDescent="0.25">
      <c r="B49" s="93" t="str">
        <f>IF(ISBLANK(Distance Control_10),"",Control_10 Distance)</f>
        <v/>
      </c>
      <c r="C49" s="94" t="str">
        <f>Control_10 Open_time</f>
        <v/>
      </c>
      <c r="D49" s="94" t="str">
        <f>Control_10 Close_time</f>
        <v/>
      </c>
      <c r="E49" s="91" t="str">
        <f>IF(ISBLANK(Locale Control_10),"",Locale Control_10)</f>
        <v/>
      </c>
      <c r="F49" s="91" t="str">
        <f>IF(ISBLANK(Control_10 Establishment_2),"",Control_10 Establishment_2)</f>
        <v/>
      </c>
      <c r="G49" s="130" t="str">
        <f>IF(ISBLANK('Control Entry'!J24),"",'Control Entry'!J24)</f>
        <v/>
      </c>
      <c r="H49" s="131"/>
      <c r="I49" s="132"/>
      <c r="J49" s="95"/>
    </row>
    <row r="50" spans="2:11" ht="40" customHeight="1" thickBot="1" x14ac:dyDescent="0.3">
      <c r="B50" s="96"/>
      <c r="C50" s="102" t="str">
        <f>Control_10 Open_time</f>
        <v/>
      </c>
      <c r="D50" s="102" t="str">
        <f>Control_10 Close_time</f>
        <v/>
      </c>
      <c r="E50" s="97"/>
      <c r="F50" s="98" t="str">
        <f>IF(ISBLANK(Control_10 Establishment_3),"",Control_10 Establishment_3)</f>
        <v/>
      </c>
      <c r="G50" s="124" t="str">
        <f>IF(ISBLANK('Control Entry'!K24),"",'Control Entry'!K24)</f>
        <v/>
      </c>
      <c r="H50" s="125"/>
      <c r="I50" s="126"/>
      <c r="J50" s="99"/>
    </row>
    <row r="52" spans="2:11" ht="24" customHeight="1" x14ac:dyDescent="0.15">
      <c r="B52" s="141" t="s">
        <v>30</v>
      </c>
      <c r="C52" s="141"/>
      <c r="D52" s="141"/>
      <c r="E52" s="141"/>
      <c r="F52" s="141"/>
      <c r="I52" s="58" t="s">
        <v>56</v>
      </c>
      <c r="J52" s="81" t="str">
        <f>IF(ISBLANK('Control Entry'!F10),"",'Control Entry'!F10)</f>
        <v>‭+1 (250) 792-3126‬</v>
      </c>
      <c r="K52" s="54"/>
    </row>
    <row r="54" spans="2:11" x14ac:dyDescent="0.15">
      <c r="B54" s="76" t="s">
        <v>59</v>
      </c>
      <c r="C54" s="77">
        <f>'Control Entry'!B3</f>
        <v>45428</v>
      </c>
    </row>
    <row r="55" spans="2:11" ht="23" x14ac:dyDescent="0.15">
      <c r="B55" s="58"/>
      <c r="C55" s="58"/>
      <c r="D55" s="58"/>
      <c r="E55" s="58"/>
      <c r="F55" s="54"/>
      <c r="G55" s="60"/>
      <c r="H55" s="60"/>
      <c r="I55" s="60"/>
      <c r="J55" s="54"/>
    </row>
    <row r="56" spans="2:11" x14ac:dyDescent="0.15">
      <c r="E56" s="1"/>
    </row>
    <row r="57" spans="2:11" x14ac:dyDescent="0.15">
      <c r="B57" s="56"/>
      <c r="C57" s="57"/>
      <c r="D57" s="57"/>
      <c r="E57" s="57"/>
      <c r="F57" s="139"/>
      <c r="G57" s="140"/>
      <c r="H57" s="140"/>
      <c r="I57" s="140"/>
      <c r="J57" s="140"/>
    </row>
  </sheetData>
  <mergeCells count="50">
    <mergeCell ref="N17:O17"/>
    <mergeCell ref="F57:J57"/>
    <mergeCell ref="G48:I48"/>
    <mergeCell ref="G49:I49"/>
    <mergeCell ref="G50:I50"/>
    <mergeCell ref="G21:I21"/>
    <mergeCell ref="G22:I22"/>
    <mergeCell ref="G23:I23"/>
    <mergeCell ref="G24:I24"/>
    <mergeCell ref="G25:I25"/>
    <mergeCell ref="G29:I29"/>
    <mergeCell ref="G30:I30"/>
    <mergeCell ref="G31:I31"/>
    <mergeCell ref="B52:F52"/>
    <mergeCell ref="G45:I45"/>
    <mergeCell ref="G46:I46"/>
    <mergeCell ref="G47:I47"/>
    <mergeCell ref="G20:I20"/>
    <mergeCell ref="D12:E12"/>
    <mergeCell ref="D14:E14"/>
    <mergeCell ref="G27:I27"/>
    <mergeCell ref="G28:I28"/>
    <mergeCell ref="G26:I26"/>
    <mergeCell ref="C17:F17"/>
    <mergeCell ref="G37:I37"/>
    <mergeCell ref="L10:M10"/>
    <mergeCell ref="N10:O10"/>
    <mergeCell ref="G44:I44"/>
    <mergeCell ref="G38:I38"/>
    <mergeCell ref="G39:I39"/>
    <mergeCell ref="G40:I40"/>
    <mergeCell ref="G41:I41"/>
    <mergeCell ref="G42:I42"/>
    <mergeCell ref="G43:I43"/>
    <mergeCell ref="G32:I32"/>
    <mergeCell ref="G33:I33"/>
    <mergeCell ref="G34:I34"/>
    <mergeCell ref="G35:I35"/>
    <mergeCell ref="G36:I36"/>
    <mergeCell ref="I17:J17"/>
    <mergeCell ref="L17:M17"/>
    <mergeCell ref="C2:F2"/>
    <mergeCell ref="B19:J19"/>
    <mergeCell ref="B10:C10"/>
    <mergeCell ref="E10:G10"/>
    <mergeCell ref="C7:F8"/>
    <mergeCell ref="H7:H8"/>
    <mergeCell ref="E5:H6"/>
    <mergeCell ref="E3:H3"/>
    <mergeCell ref="E4:H4"/>
  </mergeCells>
  <printOptions horizontalCentered="1" verticalCentered="1"/>
  <pageMargins left="0.39370078740157483" right="0.39370078740157483" top="0.39370078740157483" bottom="0.39370078740157483" header="0.15748031496062992" footer="0.15748031496062992"/>
  <pageSetup scale="37"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E900F-F270-644D-8463-167507B73A41}">
  <sheetPr>
    <pageSetUpPr fitToPage="1"/>
  </sheetPr>
  <dimension ref="B1:O57"/>
  <sheetViews>
    <sheetView zoomScale="115" zoomScaleNormal="115" zoomScalePageLayoutView="75" workbookViewId="0">
      <selection activeCell="C14" sqref="C14"/>
    </sheetView>
  </sheetViews>
  <sheetFormatPr baseColWidth="10" defaultColWidth="8.83203125" defaultRowHeight="13" x14ac:dyDescent="0.15"/>
  <cols>
    <col min="1" max="1" width="1.83203125" customWidth="1"/>
    <col min="2" max="2" width="12.83203125" customWidth="1"/>
    <col min="3" max="4" width="15.83203125" customWidth="1"/>
    <col min="5" max="5" width="25.83203125" customWidth="1"/>
    <col min="6" max="6" width="40.83203125" customWidth="1"/>
    <col min="7" max="7" width="12.83203125" customWidth="1"/>
    <col min="8" max="8" width="25.83203125" customWidth="1"/>
    <col min="9" max="9" width="30.83203125" customWidth="1"/>
    <col min="10" max="10" width="25.83203125" customWidth="1"/>
    <col min="11" max="11" width="1.83203125" customWidth="1"/>
    <col min="12" max="12" width="8.83203125" customWidth="1"/>
  </cols>
  <sheetData>
    <row r="1" spans="2:15" x14ac:dyDescent="0.15">
      <c r="K1" s="75"/>
      <c r="L1" s="75"/>
      <c r="M1" s="75"/>
    </row>
    <row r="2" spans="2:15" ht="18" x14ac:dyDescent="0.2">
      <c r="C2" s="112" t="s">
        <v>33</v>
      </c>
      <c r="D2" s="112"/>
      <c r="E2" s="112"/>
      <c r="F2" s="112"/>
      <c r="G2" s="55"/>
      <c r="H2" s="55"/>
      <c r="I2" s="78" t="s">
        <v>58</v>
      </c>
      <c r="J2" s="79">
        <f>'Control Entry'!B4</f>
        <v>45536</v>
      </c>
      <c r="K2" s="55"/>
      <c r="L2" s="55"/>
    </row>
    <row r="3" spans="2:15" ht="45" customHeight="1" x14ac:dyDescent="0.45">
      <c r="D3" s="12"/>
      <c r="E3" s="121" t="s">
        <v>29</v>
      </c>
      <c r="F3" s="121"/>
      <c r="G3" s="121"/>
      <c r="H3" s="121"/>
      <c r="I3" s="66" t="s">
        <v>60</v>
      </c>
      <c r="J3" s="71">
        <f>IF(ISBLANK(Brevet_Number),"",Brevet_Number)</f>
        <v>5413</v>
      </c>
      <c r="K3" s="39"/>
      <c r="L3" s="39"/>
    </row>
    <row r="4" spans="2:15" ht="20" customHeight="1" x14ac:dyDescent="0.15">
      <c r="C4" s="12"/>
      <c r="E4" s="122" t="str">
        <f>IF(ISBLANK(Brevet_Length),"",Brevet_Length&amp;" km Randonnée")</f>
        <v>200 km Randonnée</v>
      </c>
      <c r="F4" s="122"/>
      <c r="G4" s="122"/>
      <c r="H4" s="122"/>
      <c r="K4" s="51"/>
      <c r="L4" s="51"/>
    </row>
    <row r="5" spans="2:15" ht="20" customHeight="1" x14ac:dyDescent="0.2">
      <c r="D5" s="52"/>
      <c r="E5" s="120" t="str">
        <f>IF(ISBLANK(Brevet_Description),"",Brevet_Description)</f>
        <v>Comox Valley Crisscross</v>
      </c>
      <c r="F5" s="120"/>
      <c r="G5" s="120"/>
      <c r="H5" s="120"/>
      <c r="I5" s="74"/>
      <c r="J5" s="52"/>
      <c r="K5" s="52"/>
      <c r="L5" s="52"/>
    </row>
    <row r="6" spans="2:15" ht="20" x14ac:dyDescent="0.2">
      <c r="D6" s="67"/>
      <c r="E6" s="120"/>
      <c r="F6" s="120"/>
      <c r="G6" s="120"/>
      <c r="H6" s="120"/>
      <c r="I6" s="74"/>
      <c r="J6" s="67"/>
      <c r="K6" s="52"/>
      <c r="L6" s="52"/>
    </row>
    <row r="7" spans="2:15" ht="25" customHeight="1" x14ac:dyDescent="0.15">
      <c r="C7" s="116"/>
      <c r="D7" s="116"/>
      <c r="E7" s="116"/>
      <c r="F7" s="116"/>
      <c r="H7" s="118"/>
    </row>
    <row r="8" spans="2:15" ht="21" thickBot="1" x14ac:dyDescent="0.25">
      <c r="B8" s="17" t="s">
        <v>61</v>
      </c>
      <c r="C8" s="117"/>
      <c r="D8" s="117"/>
      <c r="E8" s="117"/>
      <c r="F8" s="117"/>
      <c r="G8" s="17" t="s">
        <v>31</v>
      </c>
      <c r="H8" s="119"/>
      <c r="I8" s="53"/>
      <c r="J8" s="53"/>
      <c r="K8" s="53"/>
    </row>
    <row r="9" spans="2:15" ht="22" customHeight="1" x14ac:dyDescent="0.15">
      <c r="B9" s="58"/>
      <c r="C9" s="58"/>
      <c r="D9" s="58"/>
      <c r="E9" s="58"/>
      <c r="F9" s="54"/>
      <c r="G9" s="60"/>
      <c r="H9" s="60"/>
      <c r="I9" s="60"/>
      <c r="J9" s="54"/>
    </row>
    <row r="10" spans="2:15" ht="20" customHeight="1" x14ac:dyDescent="0.15">
      <c r="B10" s="114" t="s">
        <v>34</v>
      </c>
      <c r="C10" s="114"/>
      <c r="D10" s="64" t="s">
        <v>35</v>
      </c>
      <c r="E10" s="115" t="s">
        <v>57</v>
      </c>
      <c r="F10" s="115"/>
      <c r="G10" s="115"/>
      <c r="H10" s="70"/>
      <c r="I10" s="59"/>
      <c r="J10" s="59"/>
      <c r="K10" s="19"/>
      <c r="L10" s="123"/>
      <c r="M10" s="123"/>
      <c r="N10" s="123"/>
      <c r="O10" s="123"/>
    </row>
    <row r="11" spans="2:15" ht="23" x14ac:dyDescent="0.15">
      <c r="B11" s="58"/>
      <c r="C11" s="58" t="s">
        <v>73</v>
      </c>
      <c r="D11" s="58"/>
      <c r="E11" s="58"/>
      <c r="F11" s="54"/>
      <c r="G11" s="60"/>
      <c r="H11" s="60"/>
      <c r="I11" s="60"/>
      <c r="J11" s="54"/>
    </row>
    <row r="12" spans="2:15" ht="21" thickBot="1" x14ac:dyDescent="0.25">
      <c r="D12" s="137" t="s">
        <v>19</v>
      </c>
      <c r="E12" s="137"/>
      <c r="F12" s="69">
        <f>IF(ISBLANK('Control Entry'!B12),"",'Control Entry'!B12)</f>
        <v>45542</v>
      </c>
      <c r="G12" s="73"/>
      <c r="H12" s="17" t="s">
        <v>63</v>
      </c>
      <c r="I12" s="68">
        <f>IF(ISBLANK('Control Entry'!B13),"",'Control Entry'!B13)</f>
        <v>0.29166666666666669</v>
      </c>
      <c r="J12" s="23"/>
    </row>
    <row r="13" spans="2:15" ht="20" x14ac:dyDescent="0.2">
      <c r="D13" s="22"/>
      <c r="E13" s="22"/>
      <c r="F13" s="21"/>
      <c r="G13" s="21"/>
      <c r="H13" s="21"/>
      <c r="L13" s="23"/>
      <c r="M13" s="23"/>
      <c r="N13" s="23"/>
    </row>
    <row r="14" spans="2:15" ht="21" thickBot="1" x14ac:dyDescent="0.25">
      <c r="D14" s="137" t="s">
        <v>62</v>
      </c>
      <c r="E14" s="137"/>
      <c r="F14" s="69"/>
      <c r="G14" s="73"/>
      <c r="H14" s="17" t="s">
        <v>64</v>
      </c>
      <c r="I14" s="68"/>
      <c r="J14" s="23"/>
      <c r="L14" s="45"/>
      <c r="M14" s="45"/>
      <c r="N14" s="45"/>
    </row>
    <row r="15" spans="2:15" ht="20" x14ac:dyDescent="0.2">
      <c r="B15" s="22"/>
      <c r="C15" s="22"/>
      <c r="D15" s="21"/>
      <c r="E15" s="21"/>
      <c r="H15" s="21"/>
    </row>
    <row r="16" spans="2:15" ht="21" thickBot="1" x14ac:dyDescent="0.25">
      <c r="C16" s="65"/>
      <c r="D16" s="65"/>
      <c r="E16" s="65"/>
      <c r="F16" s="65"/>
      <c r="H16" s="17" t="s">
        <v>65</v>
      </c>
      <c r="I16" s="68"/>
      <c r="J16" s="23"/>
      <c r="L16" s="45"/>
      <c r="M16" s="45"/>
      <c r="N16" s="45"/>
    </row>
    <row r="17" spans="2:15" ht="20" x14ac:dyDescent="0.15">
      <c r="C17" s="142" t="s">
        <v>14</v>
      </c>
      <c r="D17" s="142"/>
      <c r="E17" s="142"/>
      <c r="F17" s="142"/>
      <c r="G17" s="19"/>
      <c r="H17" s="19"/>
      <c r="I17" s="133"/>
      <c r="J17" s="133"/>
      <c r="K17" s="19"/>
      <c r="L17" s="123"/>
      <c r="M17" s="123"/>
      <c r="N17" s="123"/>
      <c r="O17" s="123"/>
    </row>
    <row r="18" spans="2:15" ht="6" customHeight="1" thickBot="1" x14ac:dyDescent="0.2">
      <c r="B18" s="61"/>
      <c r="C18" s="61"/>
      <c r="D18" s="61"/>
      <c r="E18" s="61"/>
      <c r="F18" s="62"/>
      <c r="G18" s="63"/>
      <c r="H18" s="63"/>
      <c r="I18" s="63"/>
      <c r="J18" s="62"/>
    </row>
    <row r="19" spans="2:15" ht="22" thickTop="1" thickBot="1" x14ac:dyDescent="0.2">
      <c r="B19" s="113" t="s">
        <v>50</v>
      </c>
      <c r="C19" s="113"/>
      <c r="D19" s="113"/>
      <c r="E19" s="113"/>
      <c r="F19" s="113"/>
      <c r="G19" s="113"/>
      <c r="H19" s="113"/>
      <c r="I19" s="113"/>
      <c r="J19" s="113"/>
    </row>
    <row r="20" spans="2:15" ht="20" thickBot="1" x14ac:dyDescent="0.25">
      <c r="B20" s="50" t="s">
        <v>26</v>
      </c>
      <c r="C20" s="8" t="s">
        <v>0</v>
      </c>
      <c r="D20" s="8" t="s">
        <v>1</v>
      </c>
      <c r="E20" s="8" t="s">
        <v>22</v>
      </c>
      <c r="F20" s="8" t="s">
        <v>27</v>
      </c>
      <c r="G20" s="134" t="s">
        <v>36</v>
      </c>
      <c r="H20" s="135"/>
      <c r="I20" s="136"/>
      <c r="J20" s="50" t="s">
        <v>28</v>
      </c>
    </row>
    <row r="21" spans="2:15" ht="40" customHeight="1" x14ac:dyDescent="0.25">
      <c r="B21" s="89"/>
      <c r="C21" s="101" t="str">
        <f>'Control Entry'!N$28</f>
        <v/>
      </c>
      <c r="D21" s="101" t="str">
        <f>'Control Entry'!O$28</f>
        <v/>
      </c>
      <c r="E21" s="90"/>
      <c r="F21" s="91" t="str">
        <f>IF(ISBLANK('Control Entry'!F$28),"",'Control Entry'!F$28)</f>
        <v/>
      </c>
      <c r="G21" s="127" t="str">
        <f>IF(ISBLANK('Control Entry'!I$28),"",'Control Entry'!I$28)</f>
        <v/>
      </c>
      <c r="H21" s="128"/>
      <c r="I21" s="129"/>
      <c r="J21" s="92"/>
    </row>
    <row r="22" spans="2:15" ht="40" customHeight="1" x14ac:dyDescent="0.25">
      <c r="B22" s="93" t="str">
        <f>IF(ISBLANK('Control Entry'!D$28),"",'Control Entry'!D$28)</f>
        <v/>
      </c>
      <c r="C22" s="94" t="str">
        <f>'Control Entry'!N$28</f>
        <v/>
      </c>
      <c r="D22" s="94" t="str">
        <f>'Control Entry'!O$28</f>
        <v/>
      </c>
      <c r="E22" s="91" t="str">
        <f>IF(ISBLANK('Control Entry'!E$28),"",'Control Entry'!E$28)</f>
        <v/>
      </c>
      <c r="F22" s="91" t="str">
        <f>IF(ISBLANK('Control Entry'!G$28),"",'Control Entry'!G$28)</f>
        <v/>
      </c>
      <c r="G22" s="130" t="str">
        <f>IF(ISBLANK('Control Entry'!J$28),"",'Control Entry'!J$28)</f>
        <v/>
      </c>
      <c r="H22" s="131"/>
      <c r="I22" s="132"/>
      <c r="J22" s="95"/>
    </row>
    <row r="23" spans="2:15" ht="40" customHeight="1" thickBot="1" x14ac:dyDescent="0.3">
      <c r="B23" s="96"/>
      <c r="C23" s="102" t="str">
        <f>'Control Entry'!N$28</f>
        <v/>
      </c>
      <c r="D23" s="102" t="str">
        <f>'Control Entry'!O$28</f>
        <v/>
      </c>
      <c r="E23" s="97"/>
      <c r="F23" s="98" t="str">
        <f>IF(ISBLANK('Control Entry'!H$28),"",'Control Entry'!H$28)</f>
        <v/>
      </c>
      <c r="G23" s="124" t="str">
        <f>IF(ISBLANK('Control Entry'!K$28),"",'Control Entry'!K$28)</f>
        <v/>
      </c>
      <c r="H23" s="125"/>
      <c r="I23" s="126"/>
      <c r="J23" s="99"/>
    </row>
    <row r="24" spans="2:15" ht="40" customHeight="1" x14ac:dyDescent="0.25">
      <c r="B24" s="89"/>
      <c r="C24" s="101" t="str">
        <f>'Control Entry'!N$29</f>
        <v/>
      </c>
      <c r="D24" s="101" t="str">
        <f>'Control Entry'!O$29</f>
        <v/>
      </c>
      <c r="E24" s="90"/>
      <c r="F24" s="91" t="str">
        <f>IF(ISBLANK('Control Entry'!F$29),"",'Control Entry'!F$29)</f>
        <v/>
      </c>
      <c r="G24" s="127" t="str">
        <f>IF(ISBLANK('Control Entry'!I$29),"",'Control Entry'!I$29)</f>
        <v/>
      </c>
      <c r="H24" s="128"/>
      <c r="I24" s="129"/>
      <c r="J24" s="92"/>
    </row>
    <row r="25" spans="2:15" ht="40" customHeight="1" x14ac:dyDescent="0.25">
      <c r="B25" s="93" t="str">
        <f>IF(ISBLANK('Control Entry'!D$29),"",'Control Entry'!D$29)</f>
        <v/>
      </c>
      <c r="C25" s="94" t="str">
        <f>'Control Entry'!N$29</f>
        <v/>
      </c>
      <c r="D25" s="94" t="str">
        <f>'Control Entry'!O$29</f>
        <v/>
      </c>
      <c r="E25" s="91" t="str">
        <f>IF(ISBLANK('Control Entry'!E$29),"",'Control Entry'!E$29)</f>
        <v/>
      </c>
      <c r="F25" s="91" t="str">
        <f>IF(ISBLANK('Control Entry'!G$29),"",'Control Entry'!G$29)</f>
        <v/>
      </c>
      <c r="G25" s="130" t="str">
        <f>IF(ISBLANK('Control Entry'!J$29),"",'Control Entry'!J$29)</f>
        <v/>
      </c>
      <c r="H25" s="131"/>
      <c r="I25" s="132"/>
      <c r="J25" s="95"/>
    </row>
    <row r="26" spans="2:15" ht="40" customHeight="1" thickBot="1" x14ac:dyDescent="0.3">
      <c r="B26" s="96"/>
      <c r="C26" s="102" t="str">
        <f>'Control Entry'!N$29</f>
        <v/>
      </c>
      <c r="D26" s="102" t="str">
        <f>'Control Entry'!O$29</f>
        <v/>
      </c>
      <c r="E26" s="97"/>
      <c r="F26" s="98" t="str">
        <f>IF(ISBLANK('Control Entry'!H$29),"",'Control Entry'!H$29)</f>
        <v/>
      </c>
      <c r="G26" s="124" t="str">
        <f>IF(ISBLANK('Control Entry'!K$29),"",'Control Entry'!K$29)</f>
        <v/>
      </c>
      <c r="H26" s="125"/>
      <c r="I26" s="126"/>
      <c r="J26" s="99"/>
    </row>
    <row r="27" spans="2:15" ht="40" customHeight="1" x14ac:dyDescent="0.25">
      <c r="B27" s="89"/>
      <c r="C27" s="101" t="str">
        <f>'Control Entry'!N$30</f>
        <v/>
      </c>
      <c r="D27" s="101" t="str">
        <f>'Control Entry'!O$30</f>
        <v/>
      </c>
      <c r="E27" s="90"/>
      <c r="F27" s="91" t="str">
        <f>IF(ISBLANK('Control Entry'!F$30),"",'Control Entry'!F$30)</f>
        <v/>
      </c>
      <c r="G27" s="127" t="str">
        <f>IF(ISBLANK('Control Entry'!I$30),"",'Control Entry'!I$30)</f>
        <v/>
      </c>
      <c r="H27" s="128"/>
      <c r="I27" s="129"/>
      <c r="J27" s="92"/>
    </row>
    <row r="28" spans="2:15" ht="40" customHeight="1" x14ac:dyDescent="0.25">
      <c r="B28" s="93" t="str">
        <f>IF(ISBLANK('Control Entry'!D$30),"",'Control Entry'!D$30)</f>
        <v/>
      </c>
      <c r="C28" s="94" t="str">
        <f>'Control Entry'!N$30</f>
        <v/>
      </c>
      <c r="D28" s="94" t="str">
        <f>'Control Entry'!O$30</f>
        <v/>
      </c>
      <c r="E28" s="91" t="str">
        <f>IF(ISBLANK('Control Entry'!E$30),"",'Control Entry'!E$30)</f>
        <v/>
      </c>
      <c r="F28" s="91" t="str">
        <f>IF(ISBLANK('Control Entry'!G$30),"",'Control Entry'!G$30)</f>
        <v/>
      </c>
      <c r="G28" s="130" t="str">
        <f>IF(ISBLANK('Control Entry'!J$30),"",'Control Entry'!J$30)</f>
        <v/>
      </c>
      <c r="H28" s="131"/>
      <c r="I28" s="132"/>
      <c r="J28" s="95"/>
    </row>
    <row r="29" spans="2:15" ht="40" customHeight="1" thickBot="1" x14ac:dyDescent="0.3">
      <c r="B29" s="96"/>
      <c r="C29" s="102" t="str">
        <f>'Control Entry'!N$30</f>
        <v/>
      </c>
      <c r="D29" s="102" t="str">
        <f>'Control Entry'!O$30</f>
        <v/>
      </c>
      <c r="E29" s="97"/>
      <c r="F29" s="98" t="str">
        <f>IF(ISBLANK('Control Entry'!H$30),"",'Control Entry'!H$30)</f>
        <v/>
      </c>
      <c r="G29" s="124" t="str">
        <f>IF(ISBLANK('Control Entry'!K$30),"",'Control Entry'!K$30)</f>
        <v/>
      </c>
      <c r="H29" s="125"/>
      <c r="I29" s="126"/>
      <c r="J29" s="99"/>
    </row>
    <row r="30" spans="2:15" ht="40" customHeight="1" x14ac:dyDescent="0.25">
      <c r="B30" s="89"/>
      <c r="C30" s="101" t="str">
        <f>'Control Entry'!N$31</f>
        <v/>
      </c>
      <c r="D30" s="101" t="str">
        <f>'Control Entry'!O$31</f>
        <v/>
      </c>
      <c r="E30" s="90"/>
      <c r="F30" s="91" t="str">
        <f>IF(ISBLANK('Control Entry'!F$31),"",'Control Entry'!F$31)</f>
        <v/>
      </c>
      <c r="G30" s="127" t="str">
        <f>IF(ISBLANK('Control Entry'!I$31),"",'Control Entry'!I$31)</f>
        <v/>
      </c>
      <c r="H30" s="128"/>
      <c r="I30" s="129"/>
      <c r="J30" s="92"/>
    </row>
    <row r="31" spans="2:15" ht="40" customHeight="1" x14ac:dyDescent="0.25">
      <c r="B31" s="93" t="str">
        <f>IF(ISBLANK('Control Entry'!D$31),"",'Control Entry'!D$31)</f>
        <v/>
      </c>
      <c r="C31" s="94" t="str">
        <f>'Control Entry'!N$31</f>
        <v/>
      </c>
      <c r="D31" s="94" t="str">
        <f>'Control Entry'!O$31</f>
        <v/>
      </c>
      <c r="E31" s="91" t="str">
        <f>IF(ISBLANK('Control Entry'!E$31),"",'Control Entry'!E$31)</f>
        <v/>
      </c>
      <c r="F31" s="91" t="str">
        <f>IF(ISBLANK('Control Entry'!G$31),"",'Control Entry'!G$31)</f>
        <v/>
      </c>
      <c r="G31" s="130" t="str">
        <f>IF(ISBLANK('Control Entry'!J$31),"",'Control Entry'!J$31)</f>
        <v/>
      </c>
      <c r="H31" s="131"/>
      <c r="I31" s="132"/>
      <c r="J31" s="95"/>
    </row>
    <row r="32" spans="2:15" ht="40" customHeight="1" thickBot="1" x14ac:dyDescent="0.3">
      <c r="B32" s="96"/>
      <c r="C32" s="102" t="str">
        <f>'Control Entry'!N$31</f>
        <v/>
      </c>
      <c r="D32" s="102" t="str">
        <f>'Control Entry'!O$31</f>
        <v/>
      </c>
      <c r="E32" s="97"/>
      <c r="F32" s="98" t="str">
        <f>IF(ISBLANK('Control Entry'!H$31),"",'Control Entry'!H$31)</f>
        <v/>
      </c>
      <c r="G32" s="124" t="str">
        <f>IF(ISBLANK('Control Entry'!K$31),"",'Control Entry'!K$31)</f>
        <v/>
      </c>
      <c r="H32" s="125"/>
      <c r="I32" s="126"/>
      <c r="J32" s="99"/>
    </row>
    <row r="33" spans="2:10" ht="40" customHeight="1" x14ac:dyDescent="0.25">
      <c r="B33" s="89"/>
      <c r="C33" s="101" t="str">
        <f>'Control Entry'!N$32</f>
        <v/>
      </c>
      <c r="D33" s="101" t="str">
        <f>'Control Entry'!O$32</f>
        <v/>
      </c>
      <c r="E33" s="90"/>
      <c r="F33" s="91" t="str">
        <f>IF(ISBLANK('Control Entry'!F$32),"",'Control Entry'!F$32)</f>
        <v/>
      </c>
      <c r="G33" s="127" t="str">
        <f>IF(ISBLANK('Control Entry'!I$32),"",'Control Entry'!I$32)</f>
        <v/>
      </c>
      <c r="H33" s="128"/>
      <c r="I33" s="129"/>
      <c r="J33" s="92"/>
    </row>
    <row r="34" spans="2:10" ht="40" customHeight="1" x14ac:dyDescent="0.25">
      <c r="B34" s="93" t="str">
        <f>IF(ISBLANK('Control Entry'!D$32),"",'Control Entry'!D$32)</f>
        <v/>
      </c>
      <c r="C34" s="94" t="str">
        <f>'Control Entry'!N$32</f>
        <v/>
      </c>
      <c r="D34" s="94" t="str">
        <f>'Control Entry'!O$32</f>
        <v/>
      </c>
      <c r="E34" s="91" t="str">
        <f>IF(ISBLANK('Control Entry'!E$32),"",'Control Entry'!E$32)</f>
        <v/>
      </c>
      <c r="F34" s="91" t="str">
        <f>IF(ISBLANK('Control Entry'!G$32),"",'Control Entry'!G$32)</f>
        <v/>
      </c>
      <c r="G34" s="130" t="str">
        <f>IF(ISBLANK('Control Entry'!J$32),"",'Control Entry'!J$32)</f>
        <v/>
      </c>
      <c r="H34" s="131"/>
      <c r="I34" s="132"/>
      <c r="J34" s="95"/>
    </row>
    <row r="35" spans="2:10" ht="40" customHeight="1" thickBot="1" x14ac:dyDescent="0.3">
      <c r="B35" s="96"/>
      <c r="C35" s="102" t="str">
        <f>'Control Entry'!N$32</f>
        <v/>
      </c>
      <c r="D35" s="102" t="str">
        <f>'Control Entry'!O$32</f>
        <v/>
      </c>
      <c r="E35" s="97"/>
      <c r="F35" s="98" t="str">
        <f>IF(ISBLANK('Control Entry'!H$32),"",'Control Entry'!H$32)</f>
        <v/>
      </c>
      <c r="G35" s="124" t="str">
        <f>IF(ISBLANK('Control Entry'!K$32),"",'Control Entry'!K$32)</f>
        <v/>
      </c>
      <c r="H35" s="125"/>
      <c r="I35" s="126"/>
      <c r="J35" s="99"/>
    </row>
    <row r="36" spans="2:10" ht="40" customHeight="1" x14ac:dyDescent="0.25">
      <c r="B36" s="89"/>
      <c r="C36" s="101" t="str">
        <f>'Control Entry'!N$33</f>
        <v/>
      </c>
      <c r="D36" s="101" t="str">
        <f>'Control Entry'!O$33</f>
        <v/>
      </c>
      <c r="E36" s="90"/>
      <c r="F36" s="91" t="str">
        <f>IF(ISBLANK('Control Entry'!F$33),"",'Control Entry'!F$33)</f>
        <v/>
      </c>
      <c r="G36" s="127" t="str">
        <f>IF(ISBLANK('Control Entry'!I$33),"",'Control Entry'!I$33)</f>
        <v/>
      </c>
      <c r="H36" s="128"/>
      <c r="I36" s="129"/>
      <c r="J36" s="92"/>
    </row>
    <row r="37" spans="2:10" ht="40" customHeight="1" x14ac:dyDescent="0.25">
      <c r="B37" s="93" t="str">
        <f>IF(ISBLANK('Control Entry'!D$33),"",'Control Entry'!D$33)</f>
        <v/>
      </c>
      <c r="C37" s="94" t="str">
        <f>'Control Entry'!N$33</f>
        <v/>
      </c>
      <c r="D37" s="94" t="str">
        <f>'Control Entry'!O$33</f>
        <v/>
      </c>
      <c r="E37" s="91" t="str">
        <f>IF(ISBLANK('Control Entry'!E$33),"",'Control Entry'!E$33)</f>
        <v/>
      </c>
      <c r="F37" s="91" t="str">
        <f>IF(ISBLANK('Control Entry'!G$33),"",'Control Entry'!G$33)</f>
        <v/>
      </c>
      <c r="G37" s="130" t="str">
        <f>IF(ISBLANK('Control Entry'!J$33),"",'Control Entry'!J$33)</f>
        <v/>
      </c>
      <c r="H37" s="131"/>
      <c r="I37" s="132"/>
      <c r="J37" s="95"/>
    </row>
    <row r="38" spans="2:10" ht="40" customHeight="1" thickBot="1" x14ac:dyDescent="0.3">
      <c r="B38" s="96"/>
      <c r="C38" s="102" t="str">
        <f>'Control Entry'!N$33</f>
        <v/>
      </c>
      <c r="D38" s="102" t="str">
        <f>'Control Entry'!O$33</f>
        <v/>
      </c>
      <c r="E38" s="97"/>
      <c r="F38" s="98" t="str">
        <f>IF(ISBLANK('Control Entry'!H$33),"",'Control Entry'!H$33)</f>
        <v/>
      </c>
      <c r="G38" s="124" t="str">
        <f>IF(ISBLANK('Control Entry'!K$33),"",'Control Entry'!K$33)</f>
        <v/>
      </c>
      <c r="H38" s="125"/>
      <c r="I38" s="126"/>
      <c r="J38" s="99"/>
    </row>
    <row r="39" spans="2:10" ht="40" customHeight="1" x14ac:dyDescent="0.25">
      <c r="B39" s="89"/>
      <c r="C39" s="101" t="str">
        <f>'Control Entry'!N$34</f>
        <v/>
      </c>
      <c r="D39" s="101" t="str">
        <f>'Control Entry'!O$34</f>
        <v/>
      </c>
      <c r="E39" s="90"/>
      <c r="F39" s="91" t="str">
        <f>IF(ISBLANK('Control Entry'!F$34),"",'Control Entry'!F$34)</f>
        <v/>
      </c>
      <c r="G39" s="127" t="str">
        <f>IF(ISBLANK('Control Entry'!I$34),"",'Control Entry'!I$34)</f>
        <v/>
      </c>
      <c r="H39" s="128"/>
      <c r="I39" s="129"/>
      <c r="J39" s="92"/>
    </row>
    <row r="40" spans="2:10" ht="40" customHeight="1" x14ac:dyDescent="0.25">
      <c r="B40" s="93" t="str">
        <f>IF(ISBLANK('Control Entry'!D$34),"",'Control Entry'!D$34)</f>
        <v/>
      </c>
      <c r="C40" s="94" t="str">
        <f>'Control Entry'!N$34</f>
        <v/>
      </c>
      <c r="D40" s="94" t="str">
        <f>'Control Entry'!O$34</f>
        <v/>
      </c>
      <c r="E40" s="91" t="str">
        <f>IF(ISBLANK('Control Entry'!E$34),"",'Control Entry'!E$34)</f>
        <v/>
      </c>
      <c r="F40" s="91" t="str">
        <f>IF(ISBLANK('Control Entry'!G$34),"",'Control Entry'!G$34)</f>
        <v/>
      </c>
      <c r="G40" s="130" t="str">
        <f>IF(ISBLANK('Control Entry'!J$34),"",'Control Entry'!J$34)</f>
        <v/>
      </c>
      <c r="H40" s="131"/>
      <c r="I40" s="132"/>
      <c r="J40" s="95"/>
    </row>
    <row r="41" spans="2:10" ht="40" customHeight="1" thickBot="1" x14ac:dyDescent="0.3">
      <c r="B41" s="96"/>
      <c r="C41" s="102" t="str">
        <f>'Control Entry'!N$34</f>
        <v/>
      </c>
      <c r="D41" s="102" t="str">
        <f>'Control Entry'!O$34</f>
        <v/>
      </c>
      <c r="E41" s="97"/>
      <c r="F41" s="98" t="str">
        <f>IF(ISBLANK('Control Entry'!H$34),"",'Control Entry'!H$34)</f>
        <v/>
      </c>
      <c r="G41" s="124" t="str">
        <f>IF(ISBLANK('Control Entry'!K$34),"",'Control Entry'!K$34)</f>
        <v/>
      </c>
      <c r="H41" s="125"/>
      <c r="I41" s="126"/>
      <c r="J41" s="99"/>
    </row>
    <row r="42" spans="2:10" ht="40" customHeight="1" x14ac:dyDescent="0.25">
      <c r="B42" s="89"/>
      <c r="C42" s="101" t="str">
        <f>'Control Entry'!N$35</f>
        <v/>
      </c>
      <c r="D42" s="101" t="str">
        <f>'Control Entry'!O$35</f>
        <v/>
      </c>
      <c r="E42" s="90"/>
      <c r="F42" s="91" t="str">
        <f>IF(ISBLANK('Control Entry'!F$35),"",'Control Entry'!F$35)</f>
        <v/>
      </c>
      <c r="G42" s="127" t="str">
        <f>IF(ISBLANK('Control Entry'!I$35),"",'Control Entry'!I$35)</f>
        <v/>
      </c>
      <c r="H42" s="128"/>
      <c r="I42" s="129"/>
      <c r="J42" s="92"/>
    </row>
    <row r="43" spans="2:10" ht="40" customHeight="1" x14ac:dyDescent="0.25">
      <c r="B43" s="93" t="str">
        <f>IF(ISBLANK('Control Entry'!D$35),"",'Control Entry'!D$35)</f>
        <v/>
      </c>
      <c r="C43" s="94" t="str">
        <f>'Control Entry'!N$35</f>
        <v/>
      </c>
      <c r="D43" s="94" t="str">
        <f>'Control Entry'!O$35</f>
        <v/>
      </c>
      <c r="E43" s="91" t="str">
        <f>IF(ISBLANK('Control Entry'!E$35),"",'Control Entry'!E$35)</f>
        <v/>
      </c>
      <c r="F43" s="91" t="str">
        <f>IF(ISBLANK('Control Entry'!G$35),"",'Control Entry'!G$35)</f>
        <v/>
      </c>
      <c r="G43" s="130" t="str">
        <f>IF(ISBLANK('Control Entry'!J$35),"",'Control Entry'!J$35)</f>
        <v/>
      </c>
      <c r="H43" s="131"/>
      <c r="I43" s="132"/>
      <c r="J43" s="95"/>
    </row>
    <row r="44" spans="2:10" ht="40" customHeight="1" thickBot="1" x14ac:dyDescent="0.3">
      <c r="B44" s="96"/>
      <c r="C44" s="102" t="str">
        <f>'Control Entry'!N$35</f>
        <v/>
      </c>
      <c r="D44" s="102" t="str">
        <f>'Control Entry'!O$35</f>
        <v/>
      </c>
      <c r="E44" s="97"/>
      <c r="F44" s="98" t="str">
        <f>IF(ISBLANK('Control Entry'!H$35),"",'Control Entry'!H$35)</f>
        <v/>
      </c>
      <c r="G44" s="124" t="str">
        <f>IF(ISBLANK('Control Entry'!K$35),"",'Control Entry'!K$35)</f>
        <v/>
      </c>
      <c r="H44" s="125"/>
      <c r="I44" s="126"/>
      <c r="J44" s="99"/>
    </row>
    <row r="45" spans="2:10" ht="40" customHeight="1" x14ac:dyDescent="0.25">
      <c r="B45" s="89"/>
      <c r="C45" s="101" t="str">
        <f>'Control Entry'!N$36</f>
        <v/>
      </c>
      <c r="D45" s="101" t="str">
        <f>'Control Entry'!O$36</f>
        <v/>
      </c>
      <c r="E45" s="90"/>
      <c r="F45" s="91" t="str">
        <f>IF(ISBLANK('Control Entry'!F$36),"",'Control Entry'!F$36)</f>
        <v/>
      </c>
      <c r="G45" s="127" t="str">
        <f>IF(ISBLANK('Control Entry'!I$36),"",'Control Entry'!I$36)</f>
        <v/>
      </c>
      <c r="H45" s="128"/>
      <c r="I45" s="129"/>
      <c r="J45" s="92"/>
    </row>
    <row r="46" spans="2:10" ht="40" customHeight="1" x14ac:dyDescent="0.25">
      <c r="B46" s="93" t="str">
        <f>IF(ISBLANK('Control Entry'!D$36),"",'Control Entry'!D$36)</f>
        <v/>
      </c>
      <c r="C46" s="94" t="str">
        <f>'Control Entry'!N$36</f>
        <v/>
      </c>
      <c r="D46" s="94" t="str">
        <f>'Control Entry'!O$36</f>
        <v/>
      </c>
      <c r="E46" s="91" t="str">
        <f>IF(ISBLANK('Control Entry'!E$36),"",'Control Entry'!E$36)</f>
        <v/>
      </c>
      <c r="F46" s="91" t="str">
        <f>IF(ISBLANK('Control Entry'!G$36),"",'Control Entry'!G$36)</f>
        <v/>
      </c>
      <c r="G46" s="130" t="str">
        <f>IF(ISBLANK('Control Entry'!J$36),"",'Control Entry'!J$36)</f>
        <v/>
      </c>
      <c r="H46" s="131"/>
      <c r="I46" s="132"/>
      <c r="J46" s="95"/>
    </row>
    <row r="47" spans="2:10" ht="40" customHeight="1" thickBot="1" x14ac:dyDescent="0.3">
      <c r="B47" s="96"/>
      <c r="C47" s="102" t="str">
        <f>'Control Entry'!N$36</f>
        <v/>
      </c>
      <c r="D47" s="102" t="str">
        <f>'Control Entry'!O$36</f>
        <v/>
      </c>
      <c r="E47" s="97"/>
      <c r="F47" s="98" t="str">
        <f>IF(ISBLANK('Control Entry'!H$36),"",'Control Entry'!H$36)</f>
        <v/>
      </c>
      <c r="G47" s="124" t="str">
        <f>IF(ISBLANK('Control Entry'!K$36),"",'Control Entry'!K$36)</f>
        <v/>
      </c>
      <c r="H47" s="125"/>
      <c r="I47" s="126"/>
      <c r="J47" s="99"/>
    </row>
    <row r="48" spans="2:10" ht="40" customHeight="1" x14ac:dyDescent="0.25">
      <c r="B48" s="89"/>
      <c r="C48" s="101" t="str">
        <f>'Control Entry'!N$37</f>
        <v/>
      </c>
      <c r="D48" s="101" t="str">
        <f>'Control Entry'!O$37</f>
        <v/>
      </c>
      <c r="E48" s="90"/>
      <c r="F48" s="91" t="str">
        <f>IF(ISBLANK('Control Entry'!F$37),"",'Control Entry'!F$37)</f>
        <v/>
      </c>
      <c r="G48" s="127" t="str">
        <f>IF(ISBLANK('Control Entry'!I$37),"",'Control Entry'!I$37)</f>
        <v/>
      </c>
      <c r="H48" s="128"/>
      <c r="I48" s="129"/>
      <c r="J48" s="92"/>
    </row>
    <row r="49" spans="2:11" ht="40" customHeight="1" x14ac:dyDescent="0.25">
      <c r="B49" s="93" t="str">
        <f>IF(ISBLANK('Control Entry'!D$37),"",'Control Entry'!D$37)</f>
        <v/>
      </c>
      <c r="C49" s="94" t="str">
        <f>'Control Entry'!N$37</f>
        <v/>
      </c>
      <c r="D49" s="94" t="str">
        <f>'Control Entry'!O$37</f>
        <v/>
      </c>
      <c r="E49" s="91" t="str">
        <f>IF(ISBLANK('Control Entry'!E$37),"",'Control Entry'!E$37)</f>
        <v/>
      </c>
      <c r="F49" s="91" t="str">
        <f>IF(ISBLANK('Control Entry'!G$37),"",'Control Entry'!G$37)</f>
        <v/>
      </c>
      <c r="G49" s="130" t="str">
        <f>IF(ISBLANK('Control Entry'!J$37),"",'Control Entry'!J$37)</f>
        <v/>
      </c>
      <c r="H49" s="131"/>
      <c r="I49" s="132"/>
      <c r="J49" s="95"/>
    </row>
    <row r="50" spans="2:11" ht="40" customHeight="1" thickBot="1" x14ac:dyDescent="0.3">
      <c r="B50" s="96"/>
      <c r="C50" s="102" t="str">
        <f>'Control Entry'!N$37</f>
        <v/>
      </c>
      <c r="D50" s="102" t="str">
        <f>'Control Entry'!O$37</f>
        <v/>
      </c>
      <c r="E50" s="97"/>
      <c r="F50" s="98" t="str">
        <f>IF(ISBLANK('Control Entry'!H$37),"",'Control Entry'!H$37)</f>
        <v/>
      </c>
      <c r="G50" s="124" t="str">
        <f>IF(ISBLANK('Control Entry'!K$37),"",'Control Entry'!K$37)</f>
        <v/>
      </c>
      <c r="H50" s="125"/>
      <c r="I50" s="126"/>
      <c r="J50" s="99"/>
    </row>
    <row r="52" spans="2:11" ht="24" customHeight="1" x14ac:dyDescent="0.15">
      <c r="B52" s="141" t="s">
        <v>30</v>
      </c>
      <c r="C52" s="141"/>
      <c r="D52" s="141"/>
      <c r="E52" s="141"/>
      <c r="F52" s="141"/>
      <c r="I52" s="58" t="s">
        <v>56</v>
      </c>
      <c r="J52" s="81" t="str">
        <f>IF(ISBLANK('Control Entry'!F10),"",'Control Entry'!F10)</f>
        <v>‭+1 (250) 792-3126‬</v>
      </c>
      <c r="K52" s="54"/>
    </row>
    <row r="54" spans="2:11" x14ac:dyDescent="0.15">
      <c r="B54" s="76" t="s">
        <v>59</v>
      </c>
      <c r="C54" s="77">
        <f>'Control Entry'!B3</f>
        <v>45428</v>
      </c>
    </row>
    <row r="55" spans="2:11" ht="23" x14ac:dyDescent="0.15">
      <c r="B55" s="58"/>
      <c r="C55" s="58"/>
      <c r="D55" s="58"/>
      <c r="E55" s="58"/>
      <c r="F55" s="54"/>
      <c r="G55" s="60"/>
      <c r="H55" s="60"/>
      <c r="I55" s="60"/>
      <c r="J55" s="54"/>
    </row>
    <row r="56" spans="2:11" x14ac:dyDescent="0.15">
      <c r="E56" s="1"/>
    </row>
    <row r="57" spans="2:11" x14ac:dyDescent="0.15">
      <c r="B57" s="56"/>
      <c r="C57" s="57"/>
      <c r="D57" s="57"/>
      <c r="E57" s="57"/>
      <c r="F57" s="139"/>
      <c r="G57" s="140"/>
      <c r="H57" s="140"/>
      <c r="I57" s="140"/>
      <c r="J57" s="140"/>
    </row>
  </sheetData>
  <mergeCells count="50">
    <mergeCell ref="C2:F2"/>
    <mergeCell ref="E3:H3"/>
    <mergeCell ref="E4:H4"/>
    <mergeCell ref="E5:H6"/>
    <mergeCell ref="C7:F8"/>
    <mergeCell ref="H7:H8"/>
    <mergeCell ref="G20:I20"/>
    <mergeCell ref="B10:C10"/>
    <mergeCell ref="E10:G10"/>
    <mergeCell ref="L10:M10"/>
    <mergeCell ref="N10:O10"/>
    <mergeCell ref="D12:E12"/>
    <mergeCell ref="D14:E14"/>
    <mergeCell ref="C17:F17"/>
    <mergeCell ref="I17:J17"/>
    <mergeCell ref="L17:M17"/>
    <mergeCell ref="N17:O17"/>
    <mergeCell ref="B19:J19"/>
    <mergeCell ref="G32:I32"/>
    <mergeCell ref="G21:I21"/>
    <mergeCell ref="G22:I22"/>
    <mergeCell ref="G23:I23"/>
    <mergeCell ref="G24:I24"/>
    <mergeCell ref="G25:I25"/>
    <mergeCell ref="G26:I26"/>
    <mergeCell ref="G27:I27"/>
    <mergeCell ref="G28:I28"/>
    <mergeCell ref="G29:I29"/>
    <mergeCell ref="G30:I30"/>
    <mergeCell ref="G31:I31"/>
    <mergeCell ref="G44:I44"/>
    <mergeCell ref="G33:I33"/>
    <mergeCell ref="G34:I34"/>
    <mergeCell ref="G35:I35"/>
    <mergeCell ref="G36:I36"/>
    <mergeCell ref="G37:I37"/>
    <mergeCell ref="G38:I38"/>
    <mergeCell ref="G39:I39"/>
    <mergeCell ref="G40:I40"/>
    <mergeCell ref="G41:I41"/>
    <mergeCell ref="G42:I42"/>
    <mergeCell ref="G43:I43"/>
    <mergeCell ref="B52:F52"/>
    <mergeCell ref="F57:J57"/>
    <mergeCell ref="G45:I45"/>
    <mergeCell ref="G46:I46"/>
    <mergeCell ref="G47:I47"/>
    <mergeCell ref="G48:I48"/>
    <mergeCell ref="G49:I49"/>
    <mergeCell ref="G50:I50"/>
  </mergeCells>
  <printOptions horizontalCentered="1" verticalCentered="1"/>
  <pageMargins left="0.39370078740157483" right="0.39370078740157483" top="0.39370078740157483" bottom="0.39370078740157483" header="0.15748031496062992" footer="0.15748031496062992"/>
  <pageSetup scale="37"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28</vt:i4>
      </vt:variant>
    </vt:vector>
  </HeadingPairs>
  <TitlesOfParts>
    <vt:vector size="31" baseType="lpstr">
      <vt:lpstr>Control Entry</vt:lpstr>
      <vt:lpstr>Card #1</vt:lpstr>
      <vt:lpstr>Card #2</vt:lpstr>
      <vt:lpstr>brevet</vt:lpstr>
      <vt:lpstr>Brevet_Description</vt:lpstr>
      <vt:lpstr>Brevet_Length</vt:lpstr>
      <vt:lpstr>Brevet_Number</vt:lpstr>
      <vt:lpstr>Close</vt:lpstr>
      <vt:lpstr>Close_time</vt:lpstr>
      <vt:lpstr>Control_1</vt:lpstr>
      <vt:lpstr>Control_10</vt:lpstr>
      <vt:lpstr>Control_2</vt:lpstr>
      <vt:lpstr>Control_3</vt:lpstr>
      <vt:lpstr>Control_4</vt:lpstr>
      <vt:lpstr>Control_5</vt:lpstr>
      <vt:lpstr>Control_6</vt:lpstr>
      <vt:lpstr>Control_7</vt:lpstr>
      <vt:lpstr>Control_8</vt:lpstr>
      <vt:lpstr>Control_9</vt:lpstr>
      <vt:lpstr>Distance</vt:lpstr>
      <vt:lpstr>Establishment_1</vt:lpstr>
      <vt:lpstr>Establishment_2</vt:lpstr>
      <vt:lpstr>Establishment_3</vt:lpstr>
      <vt:lpstr>Locale</vt:lpstr>
      <vt:lpstr>Max_time</vt:lpstr>
      <vt:lpstr>Open</vt:lpstr>
      <vt:lpstr>Open_time</vt:lpstr>
      <vt:lpstr>'Card #1'!Print_Area</vt:lpstr>
      <vt:lpstr>'Card #2'!Print_Area</vt:lpstr>
      <vt:lpstr>Start_date</vt:lpstr>
      <vt:lpstr>Start_time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Hinde</dc:creator>
  <cp:lastModifiedBy>Stephen Hinde</cp:lastModifiedBy>
  <cp:lastPrinted>2023-08-24T23:38:36Z</cp:lastPrinted>
  <dcterms:created xsi:type="dcterms:W3CDTF">1997-11-12T04:43:39Z</dcterms:created>
  <dcterms:modified xsi:type="dcterms:W3CDTF">2024-09-01T23:35:10Z</dcterms:modified>
</cp:coreProperties>
</file>