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showInkAnnotation="0" autoCompressPictures="0"/>
  <mc:AlternateContent xmlns:mc="http://schemas.openxmlformats.org/markup-compatibility/2006">
    <mc:Choice Requires="x15">
      <x15ac:absPath xmlns:x15ac="http://schemas.microsoft.com/office/spreadsheetml/2010/11/ac" url="/Users/stephencarol/Documents/BCR/2024/5407 Parks and Rivers/"/>
    </mc:Choice>
  </mc:AlternateContent>
  <xr:revisionPtr revIDLastSave="0" documentId="13_ncr:1_{D1F784A3-A260-6648-A675-ABA314E234F4}" xr6:coauthVersionLast="47" xr6:coauthVersionMax="47" xr10:uidLastSave="{00000000-0000-0000-0000-000000000000}"/>
  <bookViews>
    <workbookView xWindow="0" yWindow="760" windowWidth="29400" windowHeight="18360" tabRatio="509" xr2:uid="{00000000-000D-0000-FFFF-FFFF00000000}"/>
  </bookViews>
  <sheets>
    <sheet name="Control Entry" sheetId="1" r:id="rId1"/>
    <sheet name="Card #1" sheetId="7" r:id="rId2"/>
    <sheet name="Card #2" sheetId="8"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#1'!$A$1:$K$55</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6" i="1" l="1"/>
  <c r="D34" i="1"/>
  <c r="D35" i="1" s="1"/>
  <c r="D33" i="1"/>
  <c r="D32" i="1"/>
  <c r="D31" i="1"/>
  <c r="D30" i="1"/>
  <c r="D29" i="1"/>
  <c r="G50" i="8"/>
  <c r="G49" i="8"/>
  <c r="G48" i="8"/>
  <c r="F50" i="8"/>
  <c r="F49" i="8"/>
  <c r="F48" i="8"/>
  <c r="E49" i="8"/>
  <c r="B49" i="8"/>
  <c r="G47" i="8"/>
  <c r="G46" i="8"/>
  <c r="G45" i="8"/>
  <c r="F47" i="8"/>
  <c r="F46" i="8"/>
  <c r="F45" i="8"/>
  <c r="E46" i="8"/>
  <c r="G44" i="8"/>
  <c r="G43" i="8"/>
  <c r="G42" i="8"/>
  <c r="F44" i="8"/>
  <c r="F43" i="8"/>
  <c r="F42" i="8"/>
  <c r="E43" i="8"/>
  <c r="G41" i="8"/>
  <c r="G40" i="8"/>
  <c r="G39" i="8"/>
  <c r="F41" i="8"/>
  <c r="F40" i="8"/>
  <c r="F39" i="8"/>
  <c r="E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s="1"/>
  <c r="D49" i="8" s="1"/>
  <c r="L37" i="1"/>
  <c r="N37" i="1" s="1"/>
  <c r="C48" i="8" s="1"/>
  <c r="M33" i="1"/>
  <c r="L33" i="1"/>
  <c r="M32" i="1"/>
  <c r="L32" i="1"/>
  <c r="M31" i="1"/>
  <c r="L31" i="1"/>
  <c r="M30" i="1"/>
  <c r="L30" i="1"/>
  <c r="M29" i="1"/>
  <c r="L29" i="1"/>
  <c r="M28" i="1"/>
  <c r="L28" i="1"/>
  <c r="M34" i="1" l="1"/>
  <c r="L34" i="1"/>
  <c r="B40" i="8"/>
  <c r="D50" i="8"/>
  <c r="C49" i="8"/>
  <c r="C50" i="8"/>
  <c r="D48" i="8"/>
  <c r="L7" i="1"/>
  <c r="M35" i="1" l="1"/>
  <c r="L35" i="1"/>
  <c r="B43" i="8"/>
  <c r="E5"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M36" i="1" l="1"/>
  <c r="L36" i="1"/>
  <c r="B46" i="8"/>
  <c r="J52" i="7"/>
  <c r="I12" i="7"/>
  <c r="F12" i="7"/>
  <c r="J2" i="7"/>
  <c r="C54" i="7"/>
  <c r="J3" i="7"/>
  <c r="E4" i="7" l="1"/>
  <c r="L15" i="1" l="1"/>
  <c r="N15" i="1" s="1"/>
  <c r="C6" i="1"/>
  <c r="L24" i="1"/>
  <c r="L23" i="1"/>
  <c r="L22" i="1"/>
  <c r="L21" i="1"/>
  <c r="L20" i="1"/>
  <c r="L19" i="1"/>
  <c r="L18" i="1"/>
  <c r="L17" i="1"/>
  <c r="L16" i="1"/>
  <c r="N32" i="1" l="1"/>
  <c r="N33" i="1"/>
  <c r="O29" i="1"/>
  <c r="O33" i="1"/>
  <c r="O32" i="1"/>
  <c r="O30" i="1"/>
  <c r="O31" i="1"/>
  <c r="N29" i="1"/>
  <c r="N30" i="1"/>
  <c r="N31" i="1"/>
  <c r="O34" i="1"/>
  <c r="N34" i="1"/>
  <c r="N35" i="1"/>
  <c r="O35" i="1"/>
  <c r="N36" i="1"/>
  <c r="O36" i="1"/>
  <c r="N28" i="1"/>
  <c r="O28" i="1"/>
  <c r="M16" i="1"/>
  <c r="C22" i="7"/>
  <c r="C23" i="7"/>
  <c r="C21" i="7"/>
  <c r="B7" i="1"/>
  <c r="M21" i="1" s="1"/>
  <c r="O21" i="1" s="1"/>
  <c r="O16" i="1"/>
  <c r="M18" i="1"/>
  <c r="O18" i="1" s="1"/>
  <c r="M17" i="1"/>
  <c r="O17" i="1" s="1"/>
  <c r="M15" i="1"/>
  <c r="O15" i="1" s="1"/>
  <c r="N18" i="1"/>
  <c r="N22" i="1"/>
  <c r="N17" i="1"/>
  <c r="N21" i="1"/>
  <c r="N24" i="1"/>
  <c r="N16" i="1"/>
  <c r="N20" i="1"/>
  <c r="N19" i="1"/>
  <c r="N23" i="1"/>
  <c r="D47" i="8" l="1"/>
  <c r="D46" i="8"/>
  <c r="D45" i="8"/>
  <c r="C24" i="8"/>
  <c r="C25" i="8"/>
  <c r="C26" i="8"/>
  <c r="C45" i="8"/>
  <c r="C46" i="8"/>
  <c r="C47" i="8"/>
  <c r="D31" i="8"/>
  <c r="D32" i="8"/>
  <c r="D30" i="8"/>
  <c r="D28" i="8"/>
  <c r="D29" i="8"/>
  <c r="D27" i="8"/>
  <c r="C41" i="8"/>
  <c r="C39" i="8"/>
  <c r="C40" i="8"/>
  <c r="D37" i="8"/>
  <c r="D36" i="8"/>
  <c r="D38" i="8"/>
  <c r="D41" i="8"/>
  <c r="D39" i="8"/>
  <c r="D40" i="8"/>
  <c r="D25" i="8"/>
  <c r="D24" i="8"/>
  <c r="D26" i="8"/>
  <c r="D35" i="8"/>
  <c r="D33" i="8"/>
  <c r="D34" i="8"/>
  <c r="C30" i="8"/>
  <c r="C31" i="8"/>
  <c r="C32" i="8"/>
  <c r="C36" i="8"/>
  <c r="C38" i="8"/>
  <c r="C37" i="8"/>
  <c r="D42" i="8"/>
  <c r="D43" i="8"/>
  <c r="D44" i="8"/>
  <c r="C43" i="8"/>
  <c r="C44" i="8"/>
  <c r="C42" i="8"/>
  <c r="C27" i="8"/>
  <c r="C28" i="8"/>
  <c r="C29" i="8"/>
  <c r="C35" i="8"/>
  <c r="C33" i="8"/>
  <c r="C34" i="8"/>
  <c r="M19" i="1"/>
  <c r="O19" i="1" s="1"/>
  <c r="D33" i="7" s="1"/>
  <c r="C21" i="8"/>
  <c r="C23" i="8"/>
  <c r="C22" i="8"/>
  <c r="D21" i="8"/>
  <c r="D22" i="8"/>
  <c r="D23" i="8"/>
  <c r="M24" i="1"/>
  <c r="O24" i="1" s="1"/>
  <c r="M23" i="1"/>
  <c r="O23" i="1" s="1"/>
  <c r="M20" i="1"/>
  <c r="O20" i="1" s="1"/>
  <c r="M22" i="1"/>
  <c r="O22" i="1"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4" i="7"/>
  <c r="D31" i="7"/>
  <c r="D32" i="7"/>
  <c r="D30" i="7"/>
  <c r="D37" i="7" l="1"/>
  <c r="D47" i="7"/>
  <c r="D50" i="7"/>
  <c r="D44" i="7"/>
  <c r="D48" i="7"/>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<sst xmlns="http://schemas.openxmlformats.org/spreadsheetml/2006/main" count="207" uniqueCount="110">
  <si>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</si>
  <si>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</si>
  <si>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</si>
  <si>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</si>
  <si>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</si>
  <si>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</si>
  <si>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</si>
  <si>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</si>
  <si>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</si>
  <si>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</si>
  <si>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</si>
  <si>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</si>
  <si>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</si>
  <si>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</si>
  <si>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</si>
  <si>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</si>
  <si>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</si>
  <si>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</si>
  <si>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</si>
  <si>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</si>
  <si>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</si>
  <si>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</si>
  <si>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</si>
  <si>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</si>
  <si>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</si>
  <si>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</si>
  <si>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</si>
  <si>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</si>
  <si>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</si>
  <si>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</si>
  <si>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</si>
  <si>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</si>
  <si>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</si>
  <si>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</si>
  <si>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</si>
  <si>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</si>
  <si>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</si>
  <si>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</si>
  <si>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</si>
  <si>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</si>
  <si>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</si>
  <si>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</si>
  <si>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</si>
  <si>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</si>
  <si>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</si>
  <si>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</si>
  <si>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</si>
  <si>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</si>
  <si>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</si>
  <si>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</si>
  <si>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</si>
  <si>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</si>
  <si>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</si>
  <si>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</si>
  <si>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</si>
  <si>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</si>
  <si>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</si>
  <si>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</si>
  <si>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</si>
  <si>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</si>
  <si>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</si>
  <si>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</si>
  <si>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</si>
  <si>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</si>
  <si>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</si>
  <si>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</si>
  <si>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</si>
  <si>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</si>
  <si>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</si>
  <si>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Control Card #2</t>
  </si>
  <si>
    <t>Control Card #2 Information Control Question (optional)</t>
  </si>
  <si>
    <t>You can create 2control cards  (upto 20 controls) for one event, or 2control cards (up to 10 controls) with different start loctions for a single event.</t>
  </si>
  <si>
    <t>Fill in the control distance.  The opening and closing times will be automatically calculated based on the start time and the brevet distance.  If you need more than 10 controls, or need an alternate start loction, use card #2, otherwise leave that section blank.</t>
  </si>
  <si>
    <t>(circle)</t>
  </si>
  <si>
    <t>COURTENAY</t>
  </si>
  <si>
    <t>Royal Lepage</t>
  </si>
  <si>
    <t>Your choice</t>
  </si>
  <si>
    <t>750 Comox Rd</t>
  </si>
  <si>
    <t>Parks and Rivers</t>
  </si>
  <si>
    <t>‭1 (604) 866-7804‬</t>
  </si>
  <si>
    <t>CAMPBELL RIVER</t>
  </si>
  <si>
    <t>Discovery Harbour Centre</t>
  </si>
  <si>
    <t>CUMBERLAND</t>
  </si>
  <si>
    <t>Gas N Go</t>
  </si>
  <si>
    <t>4690 Cumberland Rd</t>
  </si>
  <si>
    <t>LITTLE RIVER</t>
  </si>
  <si>
    <t>HORNE LAKE</t>
  </si>
  <si>
    <t>Petrocanada</t>
  </si>
  <si>
    <t>700 Horne Lake Rd</t>
  </si>
  <si>
    <t>PARKSVILLE</t>
  </si>
  <si>
    <t>Chevron Gas</t>
  </si>
  <si>
    <t>112 Island Hwy W</t>
  </si>
  <si>
    <t>LITTLE QUALICUM</t>
  </si>
  <si>
    <t>Middle Bridge</t>
  </si>
  <si>
    <t>Little Qualicum Falls Provincial Park</t>
  </si>
  <si>
    <t>DEEP BAY</t>
  </si>
  <si>
    <t>Mapleguard Point</t>
  </si>
  <si>
    <t>5550 Deep Bay Dr</t>
  </si>
  <si>
    <t>Sign post at beach access</t>
  </si>
  <si>
    <t>Where is no fires sign?</t>
  </si>
  <si>
    <t>TOP                   BOTTOM</t>
  </si>
  <si>
    <t>Self sign if closed</t>
  </si>
  <si>
    <t>STAFFED</t>
  </si>
  <si>
    <t>INFORMATION</t>
  </si>
  <si>
    <t>BUSINESS</t>
  </si>
  <si>
    <t>end of road</t>
  </si>
  <si>
    <t>Singing Sands Beach Access</t>
  </si>
  <si>
    <t>"…fires and/or _____??_____on beach…"</t>
  </si>
  <si>
    <t>Sit on bench, yellow sign in front</t>
  </si>
  <si>
    <t>"____?____Danger…"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</si>
</sst>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7"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
      <sz val="12"/>
      <name val="Arial Narrow"/>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2">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169" fontId="5" fillId="0" borderId="25" xfId="0" applyNumberFormat="1" applyFont="1" applyBorder="1" applyAlignment="1" applyProtection="1">
      <alignment horizontal="left"/>
      <protection locked="0"/>
    </xf>
    <xf numFmtId="49" fontId="36" fillId="0" borderId="4" xfId="0" applyNumberFormat="1" applyFont="1" applyBorder="1" applyAlignment="1" applyProtection="1">
      <alignment horizontal="center"/>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right" vertical="center"/>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10" fillId="0" borderId="0" xfId="0" applyFont="1" applyAlignment="1">
      <alignment horizontal="center"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6" fillId="0" borderId="20" xfId="0" applyFont="1" applyBorder="1" applyAlignment="1">
      <alignment horizontal="center" vertical="top"/>
    </xf>
    <xf numFmtId="15" fontId="0" fillId="0" borderId="0" xfId="0" applyNumberFormat="1" applyAlignment="1">
      <alignment horizontal="left" vertical="top"/>
    </xf>
    <xf numFmtId="0" fontId="0" fillId="0" borderId="0" xfId="0" applyAlignment="1">
      <alignment horizontal="left" vertical="top"/>
    </xf>
    <xf numFmtId="0" fontId="29" fillId="0" borderId="0" xfId="0" applyFont="1" applyAlignment="1">
      <alignment horizontal="left" vertical="center"/>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showGridLines="0" tabSelected="1" zoomScale="143" zoomScaleNormal="140" zoomScalePageLayoutView="135" workbookViewId="0">
      <selection activeCell="D36" sqref="D36"/>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08" t="s">
        <v>55</v>
      </c>
      <c r="B1" s="108"/>
      <c r="C1" s="108"/>
      <c r="D1" s="108"/>
      <c r="E1" s="108"/>
      <c r="F1" s="108"/>
      <c r="G1" s="108"/>
      <c r="H1" s="40" t="s">
        <v>53</v>
      </c>
      <c r="Q1" s="110" t="s">
        <v>71</v>
      </c>
      <c r="R1" s="110"/>
      <c r="S1" s="110"/>
      <c r="T1" s="110"/>
      <c r="U1" s="110"/>
      <c r="V1" s="110"/>
      <c r="W1" s="110"/>
      <c r="X1" s="110"/>
      <c r="Y1" s="110"/>
      <c r="Z1" s="110"/>
      <c r="AA1" s="110"/>
      <c r="AB1" s="110"/>
      <c r="AC1" s="110"/>
      <c r="AD1" s="110"/>
      <c r="AE1" s="110"/>
      <c r="AF1" s="110"/>
      <c r="AG1" s="87"/>
    </row>
    <row r="2" spans="1:33" ht="13" customHeight="1" thickBot="1" x14ac:dyDescent="0.2">
      <c r="H2" s="44"/>
      <c r="I2" s="44"/>
      <c r="Q2" s="110"/>
      <c r="R2" s="110"/>
      <c r="S2" s="110"/>
      <c r="T2" s="110"/>
      <c r="U2" s="110"/>
      <c r="V2" s="110"/>
      <c r="W2" s="110"/>
      <c r="X2" s="110"/>
      <c r="Y2" s="110"/>
      <c r="Z2" s="110"/>
      <c r="AA2" s="110"/>
      <c r="AB2" s="110"/>
      <c r="AC2" s="110"/>
      <c r="AD2" s="110"/>
      <c r="AE2" s="110"/>
      <c r="AF2" s="110"/>
      <c r="AG2" s="87"/>
    </row>
    <row r="3" spans="1:33" s="48" customFormat="1" ht="13" customHeight="1" thickBot="1" x14ac:dyDescent="0.2">
      <c r="A3" s="47" t="s">
        <v>52</v>
      </c>
      <c r="B3" s="72">
        <v>45393</v>
      </c>
      <c r="H3" s="49"/>
      <c r="I3" s="49"/>
      <c r="Q3" s="110"/>
      <c r="R3" s="110"/>
      <c r="S3" s="110"/>
      <c r="T3" s="110"/>
      <c r="U3" s="110"/>
      <c r="V3" s="110"/>
      <c r="W3" s="110"/>
      <c r="X3" s="110"/>
      <c r="Y3" s="110"/>
      <c r="Z3" s="110"/>
      <c r="AA3" s="110"/>
      <c r="AB3" s="110"/>
      <c r="AC3" s="110"/>
      <c r="AD3" s="110"/>
      <c r="AE3" s="110"/>
      <c r="AF3" s="110"/>
      <c r="AG3" s="87"/>
    </row>
    <row r="4" spans="1:33" ht="13" customHeight="1" x14ac:dyDescent="0.15">
      <c r="A4" s="43" t="s">
        <v>54</v>
      </c>
      <c r="B4" s="46">
        <v>45484</v>
      </c>
      <c r="C4"/>
      <c r="H4" s="44"/>
      <c r="I4" s="44"/>
      <c r="Q4" s="110"/>
      <c r="R4" s="110"/>
      <c r="S4" s="110"/>
      <c r="T4" s="110"/>
      <c r="U4" s="110"/>
      <c r="V4" s="110"/>
      <c r="W4" s="110"/>
      <c r="X4" s="110"/>
      <c r="Y4" s="110"/>
      <c r="Z4" s="110"/>
      <c r="AA4" s="110"/>
      <c r="AB4" s="110"/>
      <c r="AC4" s="110"/>
      <c r="AD4" s="110"/>
      <c r="AE4" s="110"/>
      <c r="AF4" s="110"/>
      <c r="AG4" s="87"/>
    </row>
    <row r="5" spans="1:33" ht="7" customHeight="1" thickBot="1" x14ac:dyDescent="0.2">
      <c r="H5" s="44"/>
      <c r="I5" s="44"/>
      <c r="Q5" s="87"/>
      <c r="R5" s="87"/>
      <c r="S5" s="87"/>
      <c r="T5" s="87"/>
      <c r="U5" s="87"/>
      <c r="V5" s="87"/>
      <c r="W5" s="87"/>
      <c r="X5" s="87"/>
      <c r="Y5" s="87"/>
      <c r="Z5" s="87"/>
      <c r="AA5" s="87"/>
      <c r="AB5" s="87"/>
      <c r="AC5" s="87"/>
      <c r="AD5" s="87"/>
      <c r="AE5" s="87"/>
      <c r="AF5" s="87"/>
      <c r="AG5" s="87"/>
    </row>
    <row r="6" spans="1:33" ht="18" x14ac:dyDescent="0.2">
      <c r="A6" s="10" t="s">
        <v>15</v>
      </c>
      <c r="B6" s="30">
        <v>300</v>
      </c>
      <c r="C6">
        <f>IF(Brevet_Length&gt;=1200,Brevet_Length,IF(Brevet_Length&gt;=1000,1000,IF(Brevet_Length&gt;=600,600,IF(Brevet_Length&gt;=400,400,IF(Brevet_Length&gt;=300,300,IF(Brevet_Length&gt;=200,200,100))))))</f>
        <v>300</v>
      </c>
      <c r="J6" s="111" t="s">
        <v>40</v>
      </c>
      <c r="K6" s="111"/>
      <c r="Q6" s="85" t="s">
        <v>41</v>
      </c>
      <c r="R6" s="85"/>
      <c r="S6" s="85"/>
      <c r="T6" s="85"/>
      <c r="U6" s="85"/>
      <c r="V6" s="85"/>
      <c r="W6" s="85"/>
      <c r="X6" s="86"/>
      <c r="Y6" s="86"/>
      <c r="Z6" s="86"/>
    </row>
    <row r="7" spans="1:33" ht="14" x14ac:dyDescent="0.15">
      <c r="A7" s="11" t="s">
        <v>16</v>
      </c>
      <c r="B7" s="83">
        <f>IF(brevet=1200,90,IF(brevet=1000,75,IF(brevet=600,40,IF(brevet=400,27,IF(brevet=300,20,IF(brevet=200,13.5,IF(brevet&lt;200,L7,0)))))))</f>
        <v>20</v>
      </c>
      <c r="L7">
        <f>IF(Brevet_Length=150,10.5,IF(Brevet_Length=100,7,IF(Brevet_Length=50,3.5,IF(Brevet_Length=25, 2,0))))</f>
        <v>0</v>
      </c>
      <c r="Q7" s="86" t="s">
        <v>42</v>
      </c>
      <c r="R7" s="86"/>
      <c r="S7" s="86"/>
      <c r="T7" s="86"/>
      <c r="U7" s="86"/>
      <c r="V7" s="86"/>
      <c r="W7" s="86"/>
      <c r="X7" s="86"/>
      <c r="Y7" s="86"/>
      <c r="Z7" s="86"/>
    </row>
    <row r="8" spans="1:33" ht="18" x14ac:dyDescent="0.2">
      <c r="A8" s="82" t="s">
        <v>17</v>
      </c>
      <c r="B8" s="109" t="s">
        <v>78</v>
      </c>
      <c r="C8" s="109"/>
      <c r="D8" s="109"/>
      <c r="E8" s="109"/>
      <c r="F8" s="109"/>
      <c r="G8" s="84"/>
      <c r="H8" s="84"/>
      <c r="I8" s="16"/>
      <c r="J8" s="16"/>
      <c r="K8" s="16"/>
      <c r="Q8" s="85" t="s">
        <v>43</v>
      </c>
      <c r="R8" s="86"/>
      <c r="S8" s="86"/>
      <c r="T8" s="86"/>
      <c r="U8" s="86"/>
      <c r="V8" s="86"/>
      <c r="W8" s="86"/>
      <c r="X8" s="86"/>
      <c r="Y8" s="86"/>
      <c r="Z8" s="86"/>
    </row>
    <row r="9" spans="1:33" ht="18" x14ac:dyDescent="0.2">
      <c r="A9" s="11" t="s">
        <v>18</v>
      </c>
      <c r="B9" s="31">
        <v>5407</v>
      </c>
      <c r="C9" s="13"/>
      <c r="F9" s="14"/>
      <c r="G9" s="14"/>
      <c r="H9" s="14"/>
      <c r="I9" s="14"/>
      <c r="J9" s="14"/>
      <c r="K9" s="14"/>
      <c r="Q9" s="85" t="s">
        <v>44</v>
      </c>
      <c r="R9" s="86"/>
      <c r="S9" s="86"/>
      <c r="T9" s="86"/>
      <c r="U9" s="86"/>
      <c r="V9" s="86"/>
      <c r="W9" s="86"/>
      <c r="X9" s="86"/>
      <c r="Y9" s="86"/>
      <c r="Z9" s="86"/>
    </row>
    <row r="10" spans="1:33" ht="18" x14ac:dyDescent="0.2">
      <c r="A10" s="18" t="s">
        <v>32</v>
      </c>
      <c r="B10" s="32">
        <v>45500</v>
      </c>
      <c r="E10" s="80" t="s">
        <v>66</v>
      </c>
      <c r="F10" s="102" t="s">
        <v>79</v>
      </c>
      <c r="Q10" s="85" t="s">
        <v>45</v>
      </c>
      <c r="R10" s="86"/>
      <c r="S10" s="86"/>
      <c r="T10" s="86"/>
      <c r="U10" s="86"/>
      <c r="V10" s="86"/>
      <c r="W10" s="86"/>
      <c r="X10" s="86"/>
      <c r="Y10" s="86"/>
      <c r="Z10" s="86"/>
    </row>
    <row r="11" spans="1:33" ht="6" customHeight="1" x14ac:dyDescent="0.15">
      <c r="B11" s="45"/>
      <c r="Q11" s="86"/>
      <c r="R11" s="86"/>
      <c r="S11" s="86"/>
      <c r="T11" s="86"/>
      <c r="U11" s="86"/>
      <c r="V11" s="86"/>
      <c r="W11" s="86"/>
      <c r="X11" s="86"/>
      <c r="Y11" s="86"/>
      <c r="Z11" s="86"/>
    </row>
    <row r="12" spans="1:33" ht="18" customHeight="1" thickBot="1" x14ac:dyDescent="0.25">
      <c r="A12" s="41" t="s">
        <v>19</v>
      </c>
      <c r="B12" s="42">
        <v>45500</v>
      </c>
      <c r="Q12" s="85" t="s">
        <v>49</v>
      </c>
      <c r="R12" s="86"/>
      <c r="S12" s="86"/>
      <c r="T12" s="86"/>
      <c r="U12" s="86"/>
      <c r="V12" s="86"/>
      <c r="W12" s="86"/>
      <c r="X12" s="86"/>
      <c r="Y12" s="86"/>
      <c r="Z12" s="86"/>
    </row>
    <row r="13" spans="1:33" ht="19" thickBot="1" x14ac:dyDescent="0.25">
      <c r="A13" s="9" t="s">
        <v>20</v>
      </c>
      <c r="B13" s="33">
        <v>0.25</v>
      </c>
      <c r="D13" s="104" t="s">
        <v>51</v>
      </c>
      <c r="E13" s="105"/>
      <c r="F13" s="105"/>
      <c r="G13" s="105"/>
      <c r="H13" s="105"/>
      <c r="I13" s="106" t="s">
        <v>47</v>
      </c>
      <c r="J13" s="105"/>
      <c r="K13" s="107"/>
      <c r="Q13" s="85" t="s">
        <v>48</v>
      </c>
      <c r="R13" s="86"/>
      <c r="S13" s="86"/>
      <c r="T13" s="86"/>
      <c r="U13" s="86"/>
      <c r="V13" s="86"/>
      <c r="W13" s="86"/>
      <c r="X13" s="86"/>
      <c r="Y13" s="86"/>
      <c r="Z13" s="86"/>
    </row>
    <row r="14" spans="1:33" ht="15" thickBot="1" x14ac:dyDescent="0.2">
      <c r="D14" s="5" t="s">
        <v>21</v>
      </c>
      <c r="E14" s="6" t="s">
        <v>22</v>
      </c>
      <c r="F14" s="24" t="s">
        <v>23</v>
      </c>
      <c r="G14" s="24" t="s">
        <v>24</v>
      </c>
      <c r="H14" s="25" t="s">
        <v>25</v>
      </c>
      <c r="I14" s="6" t="s">
        <v>37</v>
      </c>
      <c r="J14" s="6" t="s">
        <v>38</v>
      </c>
      <c r="K14" s="7" t="s">
        <v>39</v>
      </c>
      <c r="L14" t="s">
        <v>0</v>
      </c>
      <c r="M14" t="s">
        <v>1</v>
      </c>
      <c r="N14" t="s">
        <v>2</v>
      </c>
      <c r="O14" t="s">
        <v>3</v>
      </c>
      <c r="Q14" s="85" t="s">
        <v>67</v>
      </c>
      <c r="R14" s="86"/>
      <c r="S14" s="86"/>
      <c r="T14" s="86"/>
      <c r="U14" s="86"/>
      <c r="V14" s="86"/>
      <c r="W14" s="86"/>
      <c r="X14" s="86"/>
      <c r="Y14" s="86"/>
      <c r="Z14" s="86"/>
    </row>
    <row r="15" spans="1:33" ht="17" customHeight="1" x14ac:dyDescent="0.15">
      <c r="C15" s="2" t="s">
        <v>4</v>
      </c>
      <c r="D15" s="15">
        <v>0</v>
      </c>
      <c r="E15" s="34" t="s">
        <v>74</v>
      </c>
      <c r="F15" s="35" t="s">
        <v>102</v>
      </c>
      <c r="G15" s="35" t="s">
        <v>75</v>
      </c>
      <c r="H15" s="36" t="s">
        <v>77</v>
      </c>
      <c r="I15" s="35"/>
      <c r="J15" s="35"/>
      <c r="K15" s="36"/>
      <c r="L15" s="3">
        <f>Start_date+Start_time</f>
        <v>45500.25</v>
      </c>
      <c r="M15" s="3">
        <f>L15+"1:00"</f>
        <v>45500.291666666664</v>
      </c>
      <c r="N15" s="4">
        <f>IF(ISBLANK(Distance),"",Open Control_1)</f>
        <v>45500.25</v>
      </c>
      <c r="O15" s="4">
        <f>IF(ISBLANK(Distance),"",Close Control_1)</f>
        <v>45500.291666666664</v>
      </c>
      <c r="Q15" s="85" t="s">
        <v>72</v>
      </c>
      <c r="R15" s="86"/>
      <c r="S15" s="86"/>
      <c r="T15" s="86"/>
      <c r="U15" s="86"/>
      <c r="V15" s="86"/>
      <c r="W15" s="86"/>
      <c r="X15" s="86"/>
      <c r="Y15" s="86"/>
      <c r="Z15" s="86"/>
    </row>
    <row r="16" spans="1:33" ht="17" customHeight="1" x14ac:dyDescent="0.2">
      <c r="B16" s="38"/>
      <c r="C16" s="2" t="s">
        <v>5</v>
      </c>
      <c r="D16" s="15">
        <v>14.6</v>
      </c>
      <c r="E16" s="34" t="s">
        <v>85</v>
      </c>
      <c r="F16" s="35" t="s">
        <v>103</v>
      </c>
      <c r="G16" s="35" t="s">
        <v>106</v>
      </c>
      <c r="H16" s="36" t="s">
        <v>105</v>
      </c>
      <c r="I16" s="35" t="s">
        <v>98</v>
      </c>
      <c r="J16" s="35" t="s">
        <v>107</v>
      </c>
      <c r="K16" s="103"/>
      <c r="L16">
        <f>IF(ISBLANK(Distance),"",IF(Distance&gt;1000,(Distance-1000)/26+33.0847,(IF(Distance&gt;600,(Distance-600)/28+18.799,(IF(Distance&gt;400,(Distance-400)/30+12.1324,(IF(Distance&gt;200,(Distance-200)/32+5.8824,Distance/34))))))))</f>
        <v>0.42941176470588233</v>
      </c>
      <c r="M16">
        <f>IF(ISBLANK(Distance),"",IF(Distance&gt;=brevet,D16200IF(brevet&gt;1200,(brevet-1200)*75/1000+90,Max_time),IF(Distance&gt;1200,(Distance-1200)*75/1000+90,IF(Distance&gt;1000,(Distance-1000)/(1000/75)+75,IF(Distance&gt;600,(Distance-600)/(400/35)+40,IF(Distance&lt;=60,(Distance/20+1),Distance/15))))))</f>
        <v>1.73</v>
      </c>
      <c r="N16" s="4">
        <f>IF(ISBLANK(Distance),"",Open_time Control_1+(INT(Open)&amp;":"&amp;IF(ROUND(((Open-INT(Open))*60),0)&lt;10,0,"")&amp;ROUND(((Open-INT(Open))*60),0)))</f>
        <v>45500.268055555556</v>
      </c>
      <c r="O16" s="4">
        <f>IF(ISBLANK(Distance),"",Open_time Control_1+(INT(Close)&amp;":"&amp;IF(ROUND(((Close-INT(Close))*60),0)&lt;10,0,"")&amp;ROUND(((Close-INT(Close))*60),0)))</f>
        <v>45500.322222222225</v>
      </c>
      <c r="Q16" s="85" t="s">
        <v>68</v>
      </c>
      <c r="R16" s="86"/>
      <c r="S16" s="86"/>
      <c r="T16" s="86"/>
      <c r="U16" s="86"/>
      <c r="V16" s="86"/>
      <c r="W16" s="86"/>
      <c r="X16" s="86"/>
      <c r="Y16" s="86"/>
      <c r="Z16" s="86"/>
    </row>
    <row r="17" spans="2:26" ht="17" customHeight="1" x14ac:dyDescent="0.15">
      <c r="B17" s="38"/>
      <c r="C17" s="2" t="s">
        <v>6</v>
      </c>
      <c r="D17" s="15">
        <v>82.8</v>
      </c>
      <c r="E17" s="34" t="s">
        <v>80</v>
      </c>
      <c r="F17" s="35" t="s">
        <v>104</v>
      </c>
      <c r="G17" s="35" t="s">
        <v>76</v>
      </c>
      <c r="H17" s="36" t="s">
        <v>81</v>
      </c>
      <c r="I17" s="35"/>
      <c r="J17" s="35"/>
      <c r="K17" s="36"/>
      <c r="L17">
        <f>IF(ISBLANK(Distance),"",IF(Distance&gt;1000,(Distance-1000)/26+33.0847,(IF(Distance&gt;600,(Distance-600)/28+18.799,(IF(Distance&gt;400,(Distance-400)/30+12.1324,(IF(Distance&gt;200,(Distance-200)/32+5.8824,Distance/34))))))))</f>
        <v>2.4352941176470586</v>
      </c>
      <c r="M17">
        <f t="shared" ref="M17:M24" si="0">IF(ISBLANK(Distance),"",IF(Distance&gt;=brevet,IF(brevet&gt;1200,(brevet-1200)*75/1000+90,Max_time),IF(Distance&gt;1200,(Distance-1200)*75/1000+90,IF(Distance&gt;1000,(Distance-1000)/(1000/75)+75,IF(Distance&gt;600,(Distance-600)/(400/35)+40,IF(Distance&lt;=60,(Distance/20+1),Distance/15))))))</f>
        <v>5.52</v>
      </c>
      <c r="N17" s="4">
        <f>IF(ISBLANK(Distance),"",Open_time Control_1+(INT(Open)&amp;":"&amp;IF(ROUND(((Open-INT(Open))*60),0)&lt;10,0,"")&amp;ROUND(((Open-INT(Open))*60),0)))</f>
        <v>45500.351388888892</v>
      </c>
      <c r="O17" s="4">
        <f>IF(ISBLANK(Distance),"",Open_time Control_1+(INT(Close)&amp;":"&amp;IF(ROUND(((Close-INT(Close))*60),0)&lt;10,0,"")&amp;ROUND(((Close-INT(Close))*60),0)))</f>
        <v>45500.479861111111</v>
      </c>
      <c r="Q17" s="85" t="s">
        <v>46</v>
      </c>
      <c r="R17" s="86"/>
      <c r="S17" s="86"/>
      <c r="T17" s="86"/>
      <c r="U17" s="86"/>
      <c r="V17" s="86"/>
      <c r="W17" s="86"/>
      <c r="X17" s="86"/>
      <c r="Y17" s="86"/>
      <c r="Z17" s="86"/>
    </row>
    <row r="18" spans="2:26" ht="17" customHeight="1" x14ac:dyDescent="0.15">
      <c r="B18" s="38"/>
      <c r="C18" s="2" t="s">
        <v>7</v>
      </c>
      <c r="D18" s="15">
        <v>140.19999999999999</v>
      </c>
      <c r="E18" s="34" t="s">
        <v>82</v>
      </c>
      <c r="F18" s="35" t="s">
        <v>104</v>
      </c>
      <c r="G18" s="35" t="s">
        <v>83</v>
      </c>
      <c r="H18" s="36" t="s">
        <v>84</v>
      </c>
      <c r="I18" s="35"/>
      <c r="J18" s="35"/>
      <c r="K18" s="36"/>
      <c r="L18">
        <f t="shared" ref="L18:L24" si="1">IF(ISBLANK(Distance),"",IF(Distance&gt;1000,(Distance-1000)/26+33.0847,(IF(Distance&gt;600,(Distance-600)/28+18.799,(IF(Distance&gt;400,(Distance-400)/30+12.1324,(IF(Distance&gt;200,(Distance-200)/32+5.8824,Distance/34))))))))</f>
        <v>4.1235294117647054</v>
      </c>
      <c r="M18">
        <f t="shared" si="0"/>
        <v>9.3466666666666658</v>
      </c>
      <c r="N18" s="4">
        <f>IF(ISBLANK(Distance),"",Open_time Control_1+(INT(Open)&amp;":"&amp;IF(ROUND(((Open-INT(Open))*60),0)&lt;10,0,"")&amp;ROUND(((Open-INT(Open))*60),0)))</f>
        <v>45500.421527777777</v>
      </c>
      <c r="O18" s="4">
        <f>IF(ISBLANK(Distance),"",Open_time Control_1+(INT(Close)&amp;":"&amp;IF(ROUND(((Close-INT(Close))*60),0)&lt;10,0,"")&amp;ROUND(((Close-INT(Close))*60),0)))</f>
        <v>45500.63958333333</v>
      </c>
    </row>
    <row r="19" spans="2:26" ht="17" customHeight="1" x14ac:dyDescent="0.15">
      <c r="B19" s="38"/>
      <c r="C19" s="2" t="s">
        <v>8</v>
      </c>
      <c r="D19" s="15">
        <v>184.2</v>
      </c>
      <c r="E19" s="34" t="s">
        <v>86</v>
      </c>
      <c r="F19" s="35" t="s">
        <v>104</v>
      </c>
      <c r="G19" s="35" t="s">
        <v>87</v>
      </c>
      <c r="H19" s="36" t="s">
        <v>88</v>
      </c>
      <c r="I19" s="35"/>
      <c r="J19" s="35"/>
      <c r="K19" s="36"/>
      <c r="L19">
        <f t="shared" si="1"/>
        <v>5.4176470588235288</v>
      </c>
      <c r="M19">
        <f t="shared" si="0"/>
        <v>12.28</v>
      </c>
      <c r="N19" s="4">
        <f>IF(ISBLANK(Distance),"",Open_time Control_1+(INT(Open)&amp;":"&amp;IF(ROUND(((Open-INT(Open))*60),0)&lt;10,0,"")&amp;ROUND(((Open-INT(Open))*60),0)))</f>
        <v>45500.475694444445</v>
      </c>
      <c r="O19" s="4">
        <f>IF(ISBLANK(Distance),"",Open_time Control_1+(INT(Close)&amp;":"&amp;IF(ROUND(((Close-INT(Close))*60),0)&lt;10,0,"")&amp;ROUND(((Close-INT(Close))*60),0)))</f>
        <v>45500.761805555558</v>
      </c>
      <c r="Q19" s="40"/>
    </row>
    <row r="20" spans="2:26" ht="17" customHeight="1" x14ac:dyDescent="0.15">
      <c r="B20" s="38"/>
      <c r="C20" s="2" t="s">
        <v>9</v>
      </c>
      <c r="D20" s="15">
        <v>213.6</v>
      </c>
      <c r="E20" s="34" t="s">
        <v>89</v>
      </c>
      <c r="F20" s="35" t="s">
        <v>104</v>
      </c>
      <c r="G20" s="35" t="s">
        <v>90</v>
      </c>
      <c r="H20" s="36" t="s">
        <v>91</v>
      </c>
      <c r="I20" s="35"/>
      <c r="J20" s="35"/>
      <c r="K20" s="36"/>
      <c r="L20">
        <f t="shared" si="1"/>
        <v>6.3073999999999995</v>
      </c>
      <c r="M20">
        <f t="shared" si="0"/>
        <v>14.24</v>
      </c>
      <c r="N20" s="4">
        <f>IF(ISBLANK(Distance),"",Open_time Control_1+(INT(Open)&amp;":"&amp;IF(ROUND(((Open-INT(Open))*60),0)&lt;10,0,"")&amp;ROUND(((Open-INT(Open))*60),0)))</f>
        <v>45500.512499999997</v>
      </c>
      <c r="O20" s="4">
        <f>IF(ISBLANK(Distance),"",Open_time Control_1+(INT(Close)&amp;":"&amp;IF(ROUND(((Close-INT(Close))*60),0)&lt;10,0,"")&amp;ROUND(((Close-INT(Close))*60),0)))</f>
        <v>45500.843055555553</v>
      </c>
    </row>
    <row r="21" spans="2:26" ht="17" customHeight="1" x14ac:dyDescent="0.15">
      <c r="B21" s="38"/>
      <c r="C21" s="2" t="s">
        <v>10</v>
      </c>
      <c r="D21" s="15">
        <v>233.2</v>
      </c>
      <c r="E21" s="34" t="s">
        <v>92</v>
      </c>
      <c r="F21" s="35" t="s">
        <v>103</v>
      </c>
      <c r="G21" s="35" t="s">
        <v>93</v>
      </c>
      <c r="H21" s="36" t="s">
        <v>94</v>
      </c>
      <c r="I21" s="35" t="s">
        <v>108</v>
      </c>
      <c r="J21" s="35" t="s">
        <v>109</v>
      </c>
      <c r="K21" s="36"/>
      <c r="L21">
        <f t="shared" si="1"/>
        <v>6.9198999999999993</v>
      </c>
      <c r="M21">
        <f t="shared" si="0"/>
        <v>15.546666666666665</v>
      </c>
      <c r="N21" s="4">
        <f>IF(ISBLANK(Distance),"",Open_time Control_1+(INT(Open)&amp;":"&amp;IF(ROUND(((Open-INT(Open))*60),0)&lt;10,0,"")&amp;ROUND(((Open-INT(Open))*60),0)))</f>
        <v>45500.538194444445</v>
      </c>
      <c r="O21" s="4">
        <f>IF(ISBLANK(Distance),"",Open_time Control_1+(INT(Close)&amp;":"&amp;IF(ROUND(((Close-INT(Close))*60),0)&lt;10,0,"")&amp;ROUND(((Close-INT(Close))*60),0)))</f>
        <v>45500.897916666669</v>
      </c>
    </row>
    <row r="22" spans="2:26" ht="17" customHeight="1" x14ac:dyDescent="0.15">
      <c r="B22" s="38"/>
      <c r="C22" s="2" t="s">
        <v>11</v>
      </c>
      <c r="D22" s="15">
        <v>259.60000000000002</v>
      </c>
      <c r="E22" s="34" t="s">
        <v>95</v>
      </c>
      <c r="F22" s="35" t="s">
        <v>103</v>
      </c>
      <c r="G22" s="35" t="s">
        <v>96</v>
      </c>
      <c r="H22" s="36" t="s">
        <v>97</v>
      </c>
      <c r="I22" s="35" t="s">
        <v>98</v>
      </c>
      <c r="J22" s="35" t="s">
        <v>99</v>
      </c>
      <c r="K22" s="36" t="s">
        <v>100</v>
      </c>
      <c r="L22">
        <f t="shared" si="1"/>
        <v>7.7449000000000003</v>
      </c>
      <c r="M22">
        <f t="shared" si="0"/>
        <v>17.306666666666668</v>
      </c>
      <c r="N22" s="4">
        <f>IF(ISBLANK(Distance),"",Open_time Control_1+(INT(Open)&amp;":"&amp;IF(ROUND(((Open-INT(Open))*60),0)&lt;10,0,"")&amp;ROUND(((Open-INT(Open))*60),0)))</f>
        <v>45500.572916666664</v>
      </c>
      <c r="O22" s="4">
        <f>IF(ISBLANK(Distance),"",Open_time Control_1+(INT(Close)&amp;":"&amp;IF(ROUND(((Close-INT(Close))*60),0)&lt;10,0,"")&amp;ROUND(((Close-INT(Close))*60),0)))</f>
        <v>45500.970833333333</v>
      </c>
    </row>
    <row r="23" spans="2:26" ht="17" customHeight="1" x14ac:dyDescent="0.15">
      <c r="B23" s="38"/>
      <c r="C23" s="2" t="s">
        <v>12</v>
      </c>
      <c r="D23" s="15">
        <v>301.10000000000002</v>
      </c>
      <c r="E23" s="34" t="s">
        <v>74</v>
      </c>
      <c r="F23" s="35" t="s">
        <v>102</v>
      </c>
      <c r="G23" s="35" t="s">
        <v>75</v>
      </c>
      <c r="H23" s="36" t="s">
        <v>77</v>
      </c>
      <c r="I23" s="35" t="s">
        <v>101</v>
      </c>
      <c r="J23" s="35"/>
      <c r="K23" s="36"/>
      <c r="L23">
        <f t="shared" si="1"/>
        <v>9.0417750000000012</v>
      </c>
      <c r="M23">
        <f t="shared" si="0"/>
        <v>20</v>
      </c>
      <c r="N23" s="4">
        <f>IF(ISBLANK(Distance),"",Open_time Control_1+(INT(Open)&amp;":"&amp;IF(ROUND(((Open-INT(Open))*60),0)&lt;10,0,"")&amp;ROUND(((Open-INT(Open))*60),0)))</f>
        <v>45500.627083333333</v>
      </c>
      <c r="O23" s="4">
        <f>IF(ISBLANK(Distance),"",Open_time Control_1+(INT(Close)&amp;":"&amp;IF(ROUND(((Close-INT(Close))*60),0)&lt;10,0,"")&amp;ROUND(((Close-INT(Close))*60),0)))</f>
        <v>45501.083333333336</v>
      </c>
    </row>
    <row r="24" spans="2:26" ht="17" customHeight="1" thickBot="1" x14ac:dyDescent="0.2">
      <c r="B24" s="38"/>
      <c r="C24" s="2" t="s">
        <v>13</v>
      </c>
      <c r="D24" s="20"/>
      <c r="E24" s="37"/>
      <c r="F24" s="35"/>
      <c r="G24" s="35"/>
      <c r="H24" s="36"/>
      <c r="I24" s="35"/>
      <c r="J24" s="35"/>
      <c r="K24" s="36"/>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7" customHeight="1" thickBot="1" x14ac:dyDescent="0.25">
      <c r="D25" s="26"/>
      <c r="E25" s="27"/>
      <c r="F25" s="28"/>
      <c r="G25" s="28"/>
      <c r="H25" s="28"/>
      <c r="I25" s="28"/>
      <c r="J25" s="28"/>
      <c r="K25" s="29"/>
      <c r="N25" s="4"/>
      <c r="O25" s="4"/>
    </row>
    <row r="26" spans="2:26" ht="14" thickBot="1" x14ac:dyDescent="0.2">
      <c r="D26" s="104" t="s">
        <v>69</v>
      </c>
      <c r="E26" s="105"/>
      <c r="F26" s="105"/>
      <c r="G26" s="105"/>
      <c r="H26" s="105"/>
      <c r="I26" s="106" t="s">
        <v>70</v>
      </c>
      <c r="J26" s="105"/>
      <c r="K26" s="107"/>
    </row>
    <row r="27" spans="2:26" ht="14" thickBot="1" x14ac:dyDescent="0.2">
      <c r="D27" s="5" t="s">
        <v>21</v>
      </c>
      <c r="E27" s="6" t="s">
        <v>22</v>
      </c>
      <c r="F27" s="24" t="s">
        <v>23</v>
      </c>
      <c r="G27" s="24" t="s">
        <v>24</v>
      </c>
      <c r="H27" s="25" t="s">
        <v>25</v>
      </c>
      <c r="I27" s="6" t="s">
        <v>37</v>
      </c>
      <c r="J27" s="6" t="s">
        <v>38</v>
      </c>
      <c r="K27" s="7" t="s">
        <v>39</v>
      </c>
      <c r="L27" t="s">
        <v>0</v>
      </c>
      <c r="M27" t="s">
        <v>1</v>
      </c>
      <c r="N27" t="s">
        <v>2</v>
      </c>
      <c r="O27" t="s">
        <v>3</v>
      </c>
    </row>
    <row r="28" spans="2:26" ht="17" customHeight="1" x14ac:dyDescent="0.15">
      <c r="D28" s="15">
        <v>0</v>
      </c>
      <c r="E28" s="34" t="s">
        <v>89</v>
      </c>
      <c r="F28" s="35" t="s">
        <v>104</v>
      </c>
      <c r="G28" s="35" t="s">
        <v>90</v>
      </c>
      <c r="H28" s="36" t="s">
        <v>91</v>
      </c>
      <c r="I28" s="35"/>
      <c r="J28" s="35"/>
      <c r="K28" s="36"/>
      <c r="L28">
        <f>IF(ISBLANK(D28),"",IF(D28&gt;1000,(D28-1000)/26+33.0847,(IF(D28&gt;600,(D28-600)/28+18.799,(IF(D28&gt;400,(D28-400)/30+12.1324,(IF(D28&gt;200,(D28-200)/32+5.8824,D28/34))))))))</f>
        <v>0</v>
      </c>
      <c r="M28">
        <f t="shared" ref="M28:M37" si="2">IF(ISBLANK(D28),"",IF((D28=0),1,IF(D28&gt;=brevet,IF(brevet&gt;1200,(brevet-1200)*75/1000+90,Max_time),IF(D28&gt;1200,(D28-1200)*75/1000+90,IF(D28&gt;1000,(D28-1000)/(1000/75)+75,IF(D28&gt;600,(D28-600)/(400/35)+40,IF(D28&lt;=60,D28/20+1,D28/15)))))))</f>
        <v>1</v>
      </c>
      <c r="N28" s="4">
        <f>IF(ISBLANK(D28),"",Open_time Control_1+(INT(L28)&amp;":"&amp;IF(ROUND(((L28-INT(L28))*60),0)&lt;10,0,"")&amp;ROUND(((L28-INT(L28))*60),0)))</f>
        <v>45500.25</v>
      </c>
      <c r="O28" s="4">
        <f>IF(ISBLANK(D28),"",Open_time Control_1+(INT(M28)&amp;":"&amp;IF(ROUND(((M28-INT(M28))*60),0)&lt;10,0,"")&amp;ROUND(((M28-INT(M28))*60),0)))</f>
        <v>45500.291666666664</v>
      </c>
    </row>
    <row r="29" spans="2:26" ht="17" customHeight="1" x14ac:dyDescent="0.15">
      <c r="D29" s="15">
        <f>D21-D20</f>
        <v>19.599999999999994</v>
      </c>
      <c r="E29" s="34" t="s">
        <v>92</v>
      </c>
      <c r="F29" s="35" t="s">
        <v>103</v>
      </c>
      <c r="G29" s="35" t="s">
        <v>93</v>
      </c>
      <c r="H29" s="36" t="s">
        <v>94</v>
      </c>
      <c r="I29" s="35" t="s">
        <v>108</v>
      </c>
      <c r="J29" s="35" t="s">
        <v>109</v>
      </c>
      <c r="K29" s="36"/>
      <c r="L29">
        <f t="shared" ref="L29:L37" si="3">IF(ISBLANK(D29),"",IF(D29&gt;1000,(D29-1000)/26+33.0847,(IF(D29&gt;600,(D29-600)/28+18.799,(IF(D29&gt;400,(D29-400)/30+12.1324,(IF(D29&gt;200,(D29-200)/32+5.8824,D29/34))))))))</f>
        <v>0.57647058823529396</v>
      </c>
      <c r="M29">
        <f t="shared" si="2"/>
        <v>1.9799999999999998</v>
      </c>
      <c r="N29" s="4">
        <f>IF(ISBLANK(D29),"",Open_time Control_1+(INT(L29)&amp;":"&amp;IF(ROUND(((L29-INT(L29))*60),0)&lt;10,0,"")&amp;ROUND(((L29-INT(L29))*60),0)))</f>
        <v>45500.274305555555</v>
      </c>
      <c r="O29" s="4">
        <f>IF(ISBLANK(D29),"",Open_time Control_1+(INT(M29)&amp;":"&amp;IF(ROUND(((M29-INT(M29))*60),0)&lt;10,0,"")&amp;ROUND(((M29-INT(M29))*60),0)))</f>
        <v>45500.332638888889</v>
      </c>
    </row>
    <row r="30" spans="2:26" ht="17" customHeight="1" x14ac:dyDescent="0.15">
      <c r="D30" s="15">
        <f>D22-D20</f>
        <v>46.000000000000028</v>
      </c>
      <c r="E30" s="34" t="s">
        <v>95</v>
      </c>
      <c r="F30" s="35" t="s">
        <v>103</v>
      </c>
      <c r="G30" s="35" t="s">
        <v>96</v>
      </c>
      <c r="H30" s="36" t="s">
        <v>97</v>
      </c>
      <c r="I30" s="35" t="s">
        <v>98</v>
      </c>
      <c r="J30" s="35" t="s">
        <v>99</v>
      </c>
      <c r="K30" s="36" t="s">
        <v>100</v>
      </c>
      <c r="L30">
        <f t="shared" si="3"/>
        <v>1.352941176470589</v>
      </c>
      <c r="M30">
        <f t="shared" si="2"/>
        <v>3.3000000000000016</v>
      </c>
      <c r="N30" s="4">
        <f>IF(ISBLANK(D30),"",Open_time Control_1+(INT(L30)&amp;":"&amp;IF(ROUND(((L30-INT(L30))*60),0)&lt;10,0,"")&amp;ROUND(((L30-INT(L30))*60),0)))</f>
        <v>45500.306250000001</v>
      </c>
      <c r="O30" s="4">
        <f>IF(ISBLANK(D30),"",Open_time Control_1+(INT(M30)&amp;":"&amp;IF(ROUND(((M30-INT(M30))*60),0)&lt;10,0,"")&amp;ROUND(((M30-INT(M30))*60),0)))</f>
        <v>45500.387499999997</v>
      </c>
    </row>
    <row r="31" spans="2:26" ht="17" customHeight="1" x14ac:dyDescent="0.15">
      <c r="D31" s="15">
        <f>D23-D20</f>
        <v>87.500000000000028</v>
      </c>
      <c r="E31" s="34" t="s">
        <v>74</v>
      </c>
      <c r="F31" s="35" t="s">
        <v>102</v>
      </c>
      <c r="G31" s="35" t="s">
        <v>75</v>
      </c>
      <c r="H31" s="36" t="s">
        <v>77</v>
      </c>
      <c r="I31" s="35" t="s">
        <v>101</v>
      </c>
      <c r="J31" s="35"/>
      <c r="K31" s="36"/>
      <c r="L31">
        <f t="shared" si="3"/>
        <v>2.5735294117647065</v>
      </c>
      <c r="M31">
        <f t="shared" si="2"/>
        <v>5.8333333333333348</v>
      </c>
      <c r="N31" s="4">
        <f>IF(ISBLANK(D31),"",Open_time Control_1+(INT(L31)&amp;":"&amp;IF(ROUND(((L31-INT(L31))*60),0)&lt;10,0,"")&amp;ROUND(((L31-INT(L31))*60),0)))</f>
        <v>45500.356944444444</v>
      </c>
      <c r="O31" s="4">
        <f>IF(ISBLANK(D31),"",Open_time Control_1+(INT(M31)&amp;":"&amp;IF(ROUND(((M31-INT(M31))*60),0)&lt;10,0,"")&amp;ROUND(((M31-INT(M31))*60),0)))</f>
        <v>45500.493055555555</v>
      </c>
    </row>
    <row r="32" spans="2:26" ht="17" customHeight="1" x14ac:dyDescent="0.15">
      <c r="D32" s="15">
        <f>D16+D31</f>
        <v>102.10000000000002</v>
      </c>
      <c r="E32" s="34" t="s">
        <v>85</v>
      </c>
      <c r="F32" s="35" t="s">
        <v>103</v>
      </c>
      <c r="G32" s="35" t="s">
        <v>106</v>
      </c>
      <c r="H32" s="36" t="s">
        <v>105</v>
      </c>
      <c r="I32" s="35" t="s">
        <v>98</v>
      </c>
      <c r="J32" s="35"/>
      <c r="K32" s="36"/>
      <c r="L32">
        <f t="shared" si="3"/>
        <v>3.0029411764705891</v>
      </c>
      <c r="M32">
        <f t="shared" si="2"/>
        <v>6.8066666666666684</v>
      </c>
      <c r="N32" s="4">
        <f>IF(ISBLANK(D32),"",Open_time Control_1+(INT(L32)&amp;":"&amp;IF(ROUND(((L32-INT(L32))*60),0)&lt;10,0,"")&amp;ROUND(((L32-INT(L32))*60),0)))</f>
        <v>45500.375</v>
      </c>
      <c r="O32" s="4">
        <f>IF(ISBLANK(D32),"",Open_time Control_1+(INT(M32)&amp;":"&amp;IF(ROUND(((M32-INT(M32))*60),0)&lt;10,0,"")&amp;ROUND(((M32-INT(M32))*60),0)))</f>
        <v>45500.533333333333</v>
      </c>
    </row>
    <row r="33" spans="4:15" ht="17" customHeight="1" x14ac:dyDescent="0.15">
      <c r="D33" s="15">
        <f>D17-D16+D32</f>
        <v>170.3</v>
      </c>
      <c r="E33" s="34" t="s">
        <v>80</v>
      </c>
      <c r="F33" s="35" t="s">
        <v>104</v>
      </c>
      <c r="G33" s="35" t="s">
        <v>76</v>
      </c>
      <c r="H33" s="36" t="s">
        <v>81</v>
      </c>
      <c r="I33" s="35"/>
      <c r="J33" s="35"/>
      <c r="K33" s="36"/>
      <c r="L33">
        <f t="shared" si="3"/>
        <v>5.0088235294117647</v>
      </c>
      <c r="M33">
        <f t="shared" si="2"/>
        <v>11.353333333333333</v>
      </c>
      <c r="N33" s="4">
        <f>IF(ISBLANK(D33),"",Open_time Control_1+(INT(L33)&amp;":"&amp;IF(ROUND(((L33-INT(L33))*60),0)&lt;10,0,"")&amp;ROUND(((L33-INT(L33))*60),0)))</f>
        <v>45500.459027777775</v>
      </c>
      <c r="O33" s="4">
        <f>IF(ISBLANK(D33),"",Open_time Control_1+(INT(M33)&amp;":"&amp;IF(ROUND(((M33-INT(M33))*60),0)&lt;10,0,"")&amp;ROUND(((M33-INT(M33))*60),0)))</f>
        <v>45500.722916666666</v>
      </c>
    </row>
    <row r="34" spans="4:15" ht="17" customHeight="1" x14ac:dyDescent="0.15">
      <c r="D34" s="15">
        <f t="shared" ref="D34:D36" si="4">D18-D17+D33</f>
        <v>227.7</v>
      </c>
      <c r="E34" s="34" t="s">
        <v>82</v>
      </c>
      <c r="F34" s="35" t="s">
        <v>104</v>
      </c>
      <c r="G34" s="35" t="s">
        <v>83</v>
      </c>
      <c r="H34" s="36" t="s">
        <v>84</v>
      </c>
      <c r="I34" s="35"/>
      <c r="J34" s="35"/>
      <c r="K34" s="36"/>
      <c r="L34">
        <f t="shared" si="3"/>
        <v>6.7480249999999993</v>
      </c>
      <c r="M34">
        <f t="shared" si="2"/>
        <v>15.18</v>
      </c>
      <c r="N34" s="4">
        <f>IF(ISBLANK(D34),"",Open_time Control_1+(INT(L34)&amp;":"&amp;IF(ROUND(((L34-INT(L34))*60),0)&lt;10,0,"")&amp;ROUND(((L34-INT(L34))*60),0)))</f>
        <v>45500.53125</v>
      </c>
      <c r="O34" s="4">
        <f>IF(ISBLANK(D34),"",Open_time Control_1+(INT(M34)&amp;":"&amp;IF(ROUND(((M34-INT(M34))*60),0)&lt;10,0,"")&amp;ROUND(((M34-INT(M34))*60),0)))</f>
        <v>45500.882638888892</v>
      </c>
    </row>
    <row r="35" spans="4:15" ht="17" customHeight="1" x14ac:dyDescent="0.15">
      <c r="D35" s="15">
        <f t="shared" si="4"/>
        <v>271.7</v>
      </c>
      <c r="E35" s="34" t="s">
        <v>86</v>
      </c>
      <c r="F35" s="35" t="s">
        <v>104</v>
      </c>
      <c r="G35" s="35" t="s">
        <v>87</v>
      </c>
      <c r="H35" s="36" t="s">
        <v>88</v>
      </c>
      <c r="I35" s="35" t="s">
        <v>101</v>
      </c>
      <c r="J35" s="35"/>
      <c r="K35" s="36"/>
      <c r="L35">
        <f t="shared" si="3"/>
        <v>8.1230249999999984</v>
      </c>
      <c r="M35">
        <f t="shared" si="2"/>
        <v>18.113333333333333</v>
      </c>
      <c r="N35" s="4">
        <f>IF(ISBLANK(D35),"",Open_time Control_1+(INT(L35)&amp;":"&amp;IF(ROUND(((L35-INT(L35))*60),0)&lt;10,0,"")&amp;ROUND(((L35-INT(L35))*60),0)))</f>
        <v>45500.588194444441</v>
      </c>
      <c r="O35" s="4">
        <f>IF(ISBLANK(D35),"",Open_time Control_1+(INT(M35)&amp;":"&amp;IF(ROUND(((M35-INT(M35))*60),0)&lt;10,0,"")&amp;ROUND(((M35-INT(M35))*60),0)))</f>
        <v>45501.004861111112</v>
      </c>
    </row>
    <row r="36" spans="4:15" ht="17" customHeight="1" x14ac:dyDescent="0.15">
      <c r="D36" s="15">
        <f>D20-D19+D35</f>
        <v>301.10000000000002</v>
      </c>
      <c r="E36" s="34" t="s">
        <v>89</v>
      </c>
      <c r="F36" s="35" t="s">
        <v>104</v>
      </c>
      <c r="G36" s="35" t="s">
        <v>90</v>
      </c>
      <c r="H36" s="36" t="s">
        <v>91</v>
      </c>
      <c r="I36" s="35"/>
      <c r="J36" s="35"/>
      <c r="K36" s="36"/>
      <c r="L36">
        <f t="shared" si="3"/>
        <v>9.0417750000000012</v>
      </c>
      <c r="M36">
        <f t="shared" si="2"/>
        <v>20</v>
      </c>
      <c r="N36" s="4">
        <f>IF(ISBLANK(D36),"",Open_time Control_1+(INT(L36)&amp;":"&amp;IF(ROUND(((L36-INT(L36))*60),0)&lt;10,0,"")&amp;ROUND(((L36-INT(L36))*60),0)))</f>
        <v>45500.627083333333</v>
      </c>
      <c r="O36" s="4">
        <f>IF(ISBLANK(D36),"",Open_time Control_1+(INT(M36)&amp;":"&amp;IF(ROUND(((M36-INT(M36))*60),0)&lt;10,0,"")&amp;ROUND(((M36-INT(M36))*60),0)))</f>
        <v>45501.083333333336</v>
      </c>
    </row>
    <row r="37" spans="4:15" ht="17" customHeight="1" thickBot="1" x14ac:dyDescent="0.2">
      <c r="D37" s="20"/>
      <c r="E37" s="34"/>
      <c r="F37" s="35"/>
      <c r="G37" s="35"/>
      <c r="H37" s="36"/>
      <c r="I37" s="35"/>
      <c r="J37" s="35"/>
      <c r="K37" s="36"/>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sheetData>
  <sheetProtection algorithmName="SHA-512" hashValue="ZYQin6v6E0iNpcC9I7+9b2Dn0/bi5OBt8ww5WOuVvda6CZVMZiQgmrJGLfp99jaxUhYX7AQrWS8mD11fp+52iA==" saltValue="KrE9Ta/PW+LsyQkuSQ1AQA==" spinCount="100000" sheet="1" objects="1" scenarios="1" formatCells="0" selectLockedCells="1"/>
  <mergeCells count="8">
    <mergeCell ref="D26:H26"/>
    <mergeCell ref="I26:K2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zoomScale="115" zoomScaleNormal="115" zoomScalePageLayoutView="75" workbookViewId="0">
      <selection activeCell="F21" sqref="F21"/>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12" t="s">
        <v>33</v>
      </c>
      <c r="D2" s="112"/>
      <c r="E2" s="112"/>
      <c r="F2" s="112"/>
      <c r="G2" s="55"/>
      <c r="H2" s="55"/>
      <c r="I2" s="78" t="s">
        <v>58</v>
      </c>
      <c r="J2" s="79">
        <f>'Control Entry'!B4</f>
        <v>45484</v>
      </c>
      <c r="K2" s="55"/>
      <c r="L2" s="55"/>
    </row>
    <row r="3" spans="2:15" ht="45" customHeight="1" x14ac:dyDescent="0.45">
      <c r="D3" s="12"/>
      <c r="E3" s="121" t="s">
        <v>29</v>
      </c>
      <c r="F3" s="121"/>
      <c r="G3" s="121"/>
      <c r="H3" s="121"/>
      <c r="I3" s="66" t="s">
        <v>60</v>
      </c>
      <c r="J3" s="71">
        <f>IF(ISBLANK(Brevet_Number),"",Brevet_Number)</f>
        <v>5407</v>
      </c>
      <c r="K3" s="39"/>
      <c r="L3" s="39"/>
    </row>
    <row r="4" spans="2:15" ht="20" customHeight="1" x14ac:dyDescent="0.15">
      <c r="C4" s="12"/>
      <c r="E4" s="122" t="str">
        <f>IF(ISBLANK(Brevet_Length),"",Brevet_Length&amp;" km Randonnée")</f>
        <v>300 km Randonnée</v>
      </c>
      <c r="F4" s="122"/>
      <c r="G4" s="122"/>
      <c r="H4" s="122"/>
      <c r="K4" s="51"/>
      <c r="L4" s="51"/>
    </row>
    <row r="5" spans="2:15" ht="20" customHeight="1" x14ac:dyDescent="0.2">
      <c r="D5" s="52"/>
      <c r="E5" s="120" t="str">
        <f>IF(ISBLANK(Brevet_Description),"",Brevet_Description)</f>
        <v>Parks and Rivers</v>
      </c>
      <c r="F5" s="120"/>
      <c r="G5" s="120"/>
      <c r="H5" s="120"/>
      <c r="I5" s="74"/>
      <c r="J5" s="52"/>
      <c r="K5" s="52"/>
      <c r="L5" s="52"/>
    </row>
    <row r="6" spans="2:15" ht="20" x14ac:dyDescent="0.2">
      <c r="D6" s="67"/>
      <c r="E6" s="120"/>
      <c r="F6" s="120"/>
      <c r="G6" s="120"/>
      <c r="H6" s="120"/>
      <c r="I6" s="74"/>
      <c r="J6" s="67"/>
      <c r="K6" s="52"/>
      <c r="L6" s="52"/>
    </row>
    <row r="7" spans="2:15" ht="25" customHeight="1" x14ac:dyDescent="0.15">
      <c r="C7" s="116"/>
      <c r="D7" s="116"/>
      <c r="E7" s="116"/>
      <c r="F7" s="116"/>
      <c r="H7" s="118"/>
    </row>
    <row r="8" spans="2:15" ht="21" thickBot="1" x14ac:dyDescent="0.25">
      <c r="B8" s="17" t="s">
        <v>61</v>
      </c>
      <c r="C8" s="117"/>
      <c r="D8" s="117"/>
      <c r="E8" s="117"/>
      <c r="F8" s="117"/>
      <c r="G8" s="17" t="s">
        <v>31</v>
      </c>
      <c r="H8" s="119"/>
      <c r="I8" s="53"/>
      <c r="J8" s="53"/>
      <c r="K8" s="53"/>
    </row>
    <row r="9" spans="2:15" ht="22" customHeight="1" x14ac:dyDescent="0.15">
      <c r="B9" s="58"/>
      <c r="C9" s="58"/>
      <c r="D9" s="58"/>
      <c r="E9" s="58"/>
      <c r="F9" s="54"/>
      <c r="G9" s="60"/>
      <c r="H9" s="60"/>
      <c r="I9" s="60"/>
      <c r="J9" s="54"/>
    </row>
    <row r="10" spans="2:15" ht="20" customHeight="1" x14ac:dyDescent="0.15">
      <c r="B10" s="114" t="s">
        <v>34</v>
      </c>
      <c r="C10" s="114"/>
      <c r="D10" s="64" t="s">
        <v>35</v>
      </c>
      <c r="E10" s="115" t="s">
        <v>57</v>
      </c>
      <c r="F10" s="115"/>
      <c r="G10" s="115"/>
      <c r="H10" s="70"/>
      <c r="I10" s="59"/>
      <c r="J10" s="59"/>
      <c r="K10" s="19"/>
      <c r="L10" s="123"/>
      <c r="M10" s="123"/>
      <c r="N10" s="123"/>
      <c r="O10" s="123"/>
    </row>
    <row r="11" spans="2:15" ht="23" x14ac:dyDescent="0.15">
      <c r="B11" s="58"/>
      <c r="C11" s="58" t="s">
        <v>73</v>
      </c>
      <c r="D11" s="58"/>
      <c r="E11" s="58"/>
      <c r="F11" s="54"/>
      <c r="G11" s="60"/>
      <c r="H11" s="60"/>
      <c r="I11" s="60"/>
      <c r="J11" s="54"/>
    </row>
    <row r="12" spans="2:15" ht="21" thickBot="1" x14ac:dyDescent="0.25">
      <c r="D12" s="137" t="s">
        <v>19</v>
      </c>
      <c r="E12" s="137"/>
      <c r="F12" s="69">
        <f>IF(ISBLANK('Control Entry'!B12),"",'Control Entry'!B12)</f>
        <v>45500</v>
      </c>
      <c r="G12" s="73"/>
      <c r="H12" s="17" t="s">
        <v>63</v>
      </c>
      <c r="I12" s="68">
        <f>IF(ISBLANK('Control Entry'!B13),"",'Control Entry'!B13)</f>
        <v>0.25</v>
      </c>
      <c r="J12" s="23"/>
    </row>
    <row r="13" spans="2:15" ht="20" x14ac:dyDescent="0.2">
      <c r="D13" s="22"/>
      <c r="E13" s="22"/>
      <c r="F13" s="21"/>
      <c r="G13" s="21"/>
      <c r="H13" s="21"/>
      <c r="L13" s="23"/>
      <c r="M13" s="23"/>
      <c r="N13" s="23"/>
    </row>
    <row r="14" spans="2:15" ht="21" thickBot="1" x14ac:dyDescent="0.25">
      <c r="D14" s="137" t="s">
        <v>62</v>
      </c>
      <c r="E14" s="137"/>
      <c r="F14" s="69"/>
      <c r="G14" s="73"/>
      <c r="H14" s="17" t="s">
        <v>64</v>
      </c>
      <c r="I14" s="68"/>
      <c r="J14" s="23"/>
      <c r="L14" s="45"/>
      <c r="M14" s="45"/>
      <c r="N14" s="45"/>
    </row>
    <row r="15" spans="2:15" ht="20" x14ac:dyDescent="0.2">
      <c r="B15" s="22"/>
      <c r="C15" s="22"/>
      <c r="D15" s="21"/>
      <c r="E15" s="21"/>
      <c r="H15" s="21"/>
    </row>
    <row r="16" spans="2:15" ht="21" thickBot="1" x14ac:dyDescent="0.25">
      <c r="C16" s="65"/>
      <c r="D16" s="65"/>
      <c r="E16" s="65"/>
      <c r="F16" s="65"/>
      <c r="H16" s="17" t="s">
        <v>65</v>
      </c>
      <c r="I16" s="68"/>
      <c r="J16" s="23"/>
      <c r="L16" s="45"/>
      <c r="M16" s="45"/>
      <c r="N16" s="45"/>
    </row>
    <row r="17" spans="2:15" ht="20" x14ac:dyDescent="0.15">
      <c r="C17" s="138" t="s">
        <v>14</v>
      </c>
      <c r="D17" s="138"/>
      <c r="E17" s="138"/>
      <c r="F17" s="138"/>
      <c r="G17" s="19"/>
      <c r="H17" s="19"/>
      <c r="I17" s="133"/>
      <c r="J17" s="133"/>
      <c r="K17" s="19"/>
      <c r="L17" s="123"/>
      <c r="M17" s="123"/>
      <c r="N17" s="123"/>
      <c r="O17" s="123"/>
    </row>
    <row r="18" spans="2:15" ht="6" customHeight="1" thickBot="1" x14ac:dyDescent="0.2">
      <c r="B18" s="61"/>
      <c r="C18" s="61"/>
      <c r="D18" s="61"/>
      <c r="E18" s="61"/>
      <c r="F18" s="62"/>
      <c r="G18" s="63"/>
      <c r="H18" s="63"/>
      <c r="I18" s="63"/>
      <c r="J18" s="62"/>
    </row>
    <row r="19" spans="2:15" ht="22" thickTop="1" thickBot="1" x14ac:dyDescent="0.2">
      <c r="B19" s="113" t="s">
        <v>50</v>
      </c>
      <c r="C19" s="113"/>
      <c r="D19" s="113"/>
      <c r="E19" s="113"/>
      <c r="F19" s="113"/>
      <c r="G19" s="113"/>
      <c r="H19" s="113"/>
      <c r="I19" s="113"/>
      <c r="J19" s="113"/>
    </row>
    <row r="20" spans="2:15" ht="20" thickBot="1" x14ac:dyDescent="0.25">
      <c r="B20" s="50" t="s">
        <v>26</v>
      </c>
      <c r="C20" s="8" t="s">
        <v>0</v>
      </c>
      <c r="D20" s="8" t="s">
        <v>1</v>
      </c>
      <c r="E20" s="8" t="s">
        <v>22</v>
      </c>
      <c r="F20" s="8" t="s">
        <v>27</v>
      </c>
      <c r="G20" s="134" t="s">
        <v>36</v>
      </c>
      <c r="H20" s="135"/>
      <c r="I20" s="136"/>
      <c r="J20" s="50" t="s">
        <v>28</v>
      </c>
    </row>
    <row r="21" spans="2:15" ht="40" customHeight="1" x14ac:dyDescent="0.25">
      <c r="B21" s="88"/>
      <c r="C21" s="100">
        <f>Control_1 Open_time</f>
        <v>45500.25</v>
      </c>
      <c r="D21" s="100">
        <f>Control_1 Close_time</f>
        <v>45500.291666666664</v>
      </c>
      <c r="E21" s="89"/>
      <c r="F21" s="90" t="str">
        <f>IF(ISBLANK(Control_1 Establishment_1),"",Control_1 Establishment_1)</f>
        <v>STAFFED</v>
      </c>
      <c r="G21" s="127" t="str">
        <f>IF(ISBLANK('Control Entry'!I15),"",'Control Entry'!I15)</f>
        <v/>
      </c>
      <c r="H21" s="128"/>
      <c r="I21" s="129"/>
      <c r="J21" s="91"/>
    </row>
    <row r="22" spans="2:15" ht="40" customHeight="1" x14ac:dyDescent="0.25">
      <c r="B22" s="92">
        <f>IF(ISBLANK(Distance Control_1),"",Control_1 Distance)</f>
        <v>0</v>
      </c>
      <c r="C22" s="93">
        <f>Control_1 Open_time</f>
        <v>45500.25</v>
      </c>
      <c r="D22" s="93">
        <f>Control_1 Close_time</f>
        <v>45500.291666666664</v>
      </c>
      <c r="E22" s="90" t="str">
        <f>IF(ISBLANK(Locale Control_1),"",Locale Control_1)</f>
        <v>COURTENAY</v>
      </c>
      <c r="F22" s="90" t="str">
        <f>IF(ISBLANK(Control_1 Establishment_2),"",Control_1 Establishment_2)</f>
        <v>Royal Lepage</v>
      </c>
      <c r="G22" s="130" t="str">
        <f>IF(ISBLANK('Control Entry'!J15),"",'Control Entry'!J15)</f>
        <v/>
      </c>
      <c r="H22" s="131"/>
      <c r="I22" s="132"/>
      <c r="J22" s="94"/>
    </row>
    <row r="23" spans="2:15" ht="40" customHeight="1" thickBot="1" x14ac:dyDescent="0.3">
      <c r="B23" s="95"/>
      <c r="C23" s="101">
        <f>Control_1 Open_time</f>
        <v>45500.25</v>
      </c>
      <c r="D23" s="101">
        <f>Control_1 Close_time</f>
        <v>45500.291666666664</v>
      </c>
      <c r="E23" s="96"/>
      <c r="F23" s="97" t="str">
        <f>IF(ISBLANK(Control_1 Establishment_3),"",Control_1 Establishment_3)</f>
        <v>750 Comox Rd</v>
      </c>
      <c r="G23" s="124" t="str">
        <f>IF(ISBLANK('Control Entry'!K15),"",'Control Entry'!K15)</f>
        <v/>
      </c>
      <c r="H23" s="125"/>
      <c r="I23" s="126"/>
      <c r="J23" s="98"/>
    </row>
    <row r="24" spans="2:15" ht="40" customHeight="1" x14ac:dyDescent="0.25">
      <c r="B24" s="88"/>
      <c r="C24" s="100">
        <f>Control_2 Open_time</f>
        <v>45500.268055555556</v>
      </c>
      <c r="D24" s="100">
        <f>Control_2 Close_time</f>
        <v>45500.322222222225</v>
      </c>
      <c r="E24" s="99"/>
      <c r="F24" s="90" t="str">
        <f>IF(ISBLANK(Control_2 Establishment_1),"",Control_2 Establishment_1)</f>
        <v>INFORMATION</v>
      </c>
      <c r="G24" s="127" t="str">
        <f>IF(ISBLANK('Control Entry'!I16),"",'Control Entry'!I16)</f>
        <v>Sign post at beach access</v>
      </c>
      <c r="H24" s="128"/>
      <c r="I24" s="129"/>
      <c r="J24" s="91"/>
    </row>
    <row r="25" spans="2:15" ht="40" customHeight="1" x14ac:dyDescent="0.25">
      <c r="B25" s="92">
        <f>IF(ISBLANK(Distance Control_2),"",Control_2 Distance)</f>
        <v>14.6</v>
      </c>
      <c r="C25" s="93">
        <f>Control_2 Open_time</f>
        <v>45500.268055555556</v>
      </c>
      <c r="D25" s="93">
        <f>Control_2 Close_time</f>
        <v>45500.322222222225</v>
      </c>
      <c r="E25" s="90" t="str">
        <f>IF(ISBLANK(Locale Control_2),"",Locale Control_2)</f>
        <v>LITTLE RIVER</v>
      </c>
      <c r="F25" s="90" t="str">
        <f>IF(ISBLANK(Control_2 Establishment_2),"",Control_2 Establishment_2)</f>
        <v>Singing Sands Beach Access</v>
      </c>
      <c r="G25" s="130" t="str">
        <f>IF(ISBLANK('Control Entry'!J16),"",'Control Entry'!J16)</f>
        <v>"…fires and/or _____??_____on beach…"</v>
      </c>
      <c r="H25" s="131"/>
      <c r="I25" s="132"/>
      <c r="J25" s="94"/>
    </row>
    <row r="26" spans="2:15" ht="40" customHeight="1" thickBot="1" x14ac:dyDescent="0.3">
      <c r="B26" s="95"/>
      <c r="C26" s="101">
        <f>Control_2 Open_time</f>
        <v>45500.268055555556</v>
      </c>
      <c r="D26" s="101">
        <f>Control_2 Close_time</f>
        <v>45500.322222222225</v>
      </c>
      <c r="E26" s="96"/>
      <c r="F26" s="97" t="str">
        <f>IF(ISBLANK(Control_2 Establishment_3),"",Control_2 Establishment_3)</f>
        <v>end of road</v>
      </c>
      <c r="G26" s="124" t="str">
        <f>IF(ISBLANK('Control Entry'!K16),"",'Control Entry'!K16)</f>
        <v/>
      </c>
      <c r="H26" s="125"/>
      <c r="I26" s="126"/>
      <c r="J26" s="98"/>
    </row>
    <row r="27" spans="2:15" ht="40" customHeight="1" x14ac:dyDescent="0.25">
      <c r="B27" s="88"/>
      <c r="C27" s="100">
        <f>Control_3 Open_time</f>
        <v>45500.351388888892</v>
      </c>
      <c r="D27" s="100">
        <f>Control_3 Close_time</f>
        <v>45500.479861111111</v>
      </c>
      <c r="E27" s="99"/>
      <c r="F27" s="90" t="str">
        <f>IF(ISBLANK(Control_3 Establishment_1),"",Control_3 Establishment_1)</f>
        <v>BUSINESS</v>
      </c>
      <c r="G27" s="127" t="str">
        <f>IF(ISBLANK('Control Entry'!I17),"",'Control Entry'!I17)</f>
        <v/>
      </c>
      <c r="H27" s="128"/>
      <c r="I27" s="129"/>
      <c r="J27" s="91"/>
    </row>
    <row r="28" spans="2:15" ht="40" customHeight="1" x14ac:dyDescent="0.25">
      <c r="B28" s="92">
        <f>IF(ISBLANK(Distance Control_3),"",Control_3 Distance)</f>
        <v>82.8</v>
      </c>
      <c r="C28" s="93">
        <f>Control_3 Open_time</f>
        <v>45500.351388888892</v>
      </c>
      <c r="D28" s="93">
        <f>Control_3 Close_time</f>
        <v>45500.479861111111</v>
      </c>
      <c r="E28" s="90" t="str">
        <f>IF(ISBLANK(Locale Control_3),"",Locale Control_3)</f>
        <v>CAMPBELL RIVER</v>
      </c>
      <c r="F28" s="90" t="str">
        <f>IF(ISBLANK(Control_3 Establishment_2),"",Control_3 Establishment_2)</f>
        <v>Your choice</v>
      </c>
      <c r="G28" s="130" t="str">
        <f>IF(ISBLANK('Control Entry'!J17),"",'Control Entry'!J17)</f>
        <v/>
      </c>
      <c r="H28" s="131"/>
      <c r="I28" s="132"/>
      <c r="J28" s="94"/>
    </row>
    <row r="29" spans="2:15" ht="40" customHeight="1" thickBot="1" x14ac:dyDescent="0.3">
      <c r="B29" s="95"/>
      <c r="C29" s="101">
        <f>Control_3 Open_time</f>
        <v>45500.351388888892</v>
      </c>
      <c r="D29" s="101">
        <f>Control_3 Close_time</f>
        <v>45500.479861111111</v>
      </c>
      <c r="E29" s="96"/>
      <c r="F29" s="97" t="str">
        <f>IF(ISBLANK(Control_3 Establishment_3),"",Control_3 Establishment_3)</f>
        <v>Discovery Harbour Centre</v>
      </c>
      <c r="G29" s="124" t="str">
        <f>IF(ISBLANK('Control Entry'!K17),"",'Control Entry'!K17)</f>
        <v/>
      </c>
      <c r="H29" s="125"/>
      <c r="I29" s="126"/>
      <c r="J29" s="98"/>
    </row>
    <row r="30" spans="2:15" ht="40" customHeight="1" x14ac:dyDescent="0.25">
      <c r="B30" s="88"/>
      <c r="C30" s="100">
        <f>Control_4 Open_time</f>
        <v>45500.421527777777</v>
      </c>
      <c r="D30" s="100">
        <f>Control_4 Close_time</f>
        <v>45500.63958333333</v>
      </c>
      <c r="E30" s="99"/>
      <c r="F30" s="90" t="str">
        <f>IF(ISBLANK(Control_4 Establishment_1),"",Control_4 Establishment_1)</f>
        <v>BUSINESS</v>
      </c>
      <c r="G30" s="127" t="str">
        <f>IF(ISBLANK('Control Entry'!I18),"",'Control Entry'!I18)</f>
        <v/>
      </c>
      <c r="H30" s="128"/>
      <c r="I30" s="129"/>
      <c r="J30" s="91"/>
    </row>
    <row r="31" spans="2:15" ht="40" customHeight="1" x14ac:dyDescent="0.25">
      <c r="B31" s="92">
        <f>IF(ISBLANK(Distance Control_4),"",Control_4 Distance)</f>
        <v>140.19999999999999</v>
      </c>
      <c r="C31" s="93">
        <f>Control_4 Open_time</f>
        <v>45500.421527777777</v>
      </c>
      <c r="D31" s="93">
        <f>Control_4 Close_time</f>
        <v>45500.63958333333</v>
      </c>
      <c r="E31" s="90" t="str">
        <f>IF(ISBLANK(Locale Control_4),"",Locale Control_4)</f>
        <v>CUMBERLAND</v>
      </c>
      <c r="F31" s="90" t="str">
        <f>IF(ISBLANK(Control_4 Establishment_2),"",Control_4 Establishment_2)</f>
        <v>Gas N Go</v>
      </c>
      <c r="G31" s="130" t="str">
        <f>IF(ISBLANK('Control Entry'!J18),"",'Control Entry'!J18)</f>
        <v/>
      </c>
      <c r="H31" s="131"/>
      <c r="I31" s="132"/>
      <c r="J31" s="94"/>
    </row>
    <row r="32" spans="2:15" ht="40" customHeight="1" thickBot="1" x14ac:dyDescent="0.3">
      <c r="B32" s="95"/>
      <c r="C32" s="101">
        <f>Control_4 Open_time</f>
        <v>45500.421527777777</v>
      </c>
      <c r="D32" s="101">
        <f>Control_4 Close_time</f>
        <v>45500.63958333333</v>
      </c>
      <c r="E32" s="96"/>
      <c r="F32" s="97" t="str">
        <f>IF(ISBLANK(Control_4 Establishment_3),"",Control_4 Establishment_3)</f>
        <v>4690 Cumberland Rd</v>
      </c>
      <c r="G32" s="124" t="str">
        <f>IF(ISBLANK('Control Entry'!K18),"",'Control Entry'!K18)</f>
        <v/>
      </c>
      <c r="H32" s="125"/>
      <c r="I32" s="126"/>
      <c r="J32" s="98"/>
    </row>
    <row r="33" spans="2:10" ht="40" customHeight="1" x14ac:dyDescent="0.25">
      <c r="B33" s="88"/>
      <c r="C33" s="100">
        <f>Control_5 Open_time</f>
        <v>45500.475694444445</v>
      </c>
      <c r="D33" s="100">
        <f>Control_5 Close_time</f>
        <v>45500.761805555558</v>
      </c>
      <c r="E33" s="99"/>
      <c r="F33" s="90" t="str">
        <f>IF(ISBLANK(Control_5 Establishment_1),"",Control_5 Establishment_1)</f>
        <v>BUSINESS</v>
      </c>
      <c r="G33" s="127" t="str">
        <f>IF(ISBLANK('Control Entry'!I19),"",'Control Entry'!I19)</f>
        <v/>
      </c>
      <c r="H33" s="128"/>
      <c r="I33" s="129"/>
      <c r="J33" s="91"/>
    </row>
    <row r="34" spans="2:10" ht="40" customHeight="1" x14ac:dyDescent="0.25">
      <c r="B34" s="92">
        <f>IF(ISBLANK(Distance Control_5),"",Control_5 Distance)</f>
        <v>184.2</v>
      </c>
      <c r="C34" s="93">
        <f>Control_5 Open_time</f>
        <v>45500.475694444445</v>
      </c>
      <c r="D34" s="93">
        <f>Control_5 Close_time</f>
        <v>45500.761805555558</v>
      </c>
      <c r="E34" s="90" t="str">
        <f>IF(ISBLANK(Locale Control_5),"",Locale Control_5)</f>
        <v>HORNE LAKE</v>
      </c>
      <c r="F34" s="90" t="str">
        <f>IF(ISBLANK(Control_5 Establishment_2),"",Control_5 Establishment_2)</f>
        <v>Petrocanada</v>
      </c>
      <c r="G34" s="130" t="str">
        <f>IF(ISBLANK('Control Entry'!J19),"",'Control Entry'!J19)</f>
        <v/>
      </c>
      <c r="H34" s="131"/>
      <c r="I34" s="132"/>
      <c r="J34" s="94"/>
    </row>
    <row r="35" spans="2:10" ht="40" customHeight="1" thickBot="1" x14ac:dyDescent="0.3">
      <c r="B35" s="95"/>
      <c r="C35" s="101">
        <f>Control_5 Open_time</f>
        <v>45500.475694444445</v>
      </c>
      <c r="D35" s="101">
        <f>Control_5 Close_time</f>
        <v>45500.761805555558</v>
      </c>
      <c r="E35" s="96"/>
      <c r="F35" s="97" t="str">
        <f>IF(ISBLANK(Control_5 Establishment_3),"",Control_5 Establishment_3)</f>
        <v>700 Horne Lake Rd</v>
      </c>
      <c r="G35" s="124" t="str">
        <f>IF(ISBLANK('Control Entry'!K19),"",'Control Entry'!K19)</f>
        <v/>
      </c>
      <c r="H35" s="125"/>
      <c r="I35" s="126"/>
      <c r="J35" s="98"/>
    </row>
    <row r="36" spans="2:10" ht="40" customHeight="1" x14ac:dyDescent="0.25">
      <c r="B36" s="88"/>
      <c r="C36" s="100">
        <f>Control_6 Open_time</f>
        <v>45500.512499999997</v>
      </c>
      <c r="D36" s="100">
        <f>Control_6 Close_time</f>
        <v>45500.843055555553</v>
      </c>
      <c r="E36" s="99"/>
      <c r="F36" s="90" t="str">
        <f>IF(ISBLANK(Control_6 Establishment_1),"",Control_6 Establishment_1)</f>
        <v>BUSINESS</v>
      </c>
      <c r="G36" s="127" t="str">
        <f>IF(ISBLANK('Control Entry'!I20),"",'Control Entry'!I20)</f>
        <v/>
      </c>
      <c r="H36" s="128"/>
      <c r="I36" s="129"/>
      <c r="J36" s="91"/>
    </row>
    <row r="37" spans="2:10" ht="40" customHeight="1" x14ac:dyDescent="0.25">
      <c r="B37" s="92">
        <f>IF(ISBLANK(Distance Control_6),"",Control_6 Distance)</f>
        <v>213.6</v>
      </c>
      <c r="C37" s="93">
        <f>Control_6 Open_time</f>
        <v>45500.512499999997</v>
      </c>
      <c r="D37" s="93">
        <f>Control_6 Close_time</f>
        <v>45500.843055555553</v>
      </c>
      <c r="E37" s="90" t="str">
        <f>IF(ISBLANK(Locale Control_6),"",Locale Control_6)</f>
        <v>PARKSVILLE</v>
      </c>
      <c r="F37" s="90" t="str">
        <f>IF(ISBLANK(Control_6 Establishment_2),"",Control_6 Establishment_2)</f>
        <v>Chevron Gas</v>
      </c>
      <c r="G37" s="130" t="str">
        <f>IF(ISBLANK('Control Entry'!J20),"",'Control Entry'!J20)</f>
        <v/>
      </c>
      <c r="H37" s="131"/>
      <c r="I37" s="132"/>
      <c r="J37" s="94"/>
    </row>
    <row r="38" spans="2:10" ht="40" customHeight="1" thickBot="1" x14ac:dyDescent="0.3">
      <c r="B38" s="95"/>
      <c r="C38" s="101">
        <f>Control_6 Open_time</f>
        <v>45500.512499999997</v>
      </c>
      <c r="D38" s="101">
        <f>Control_6 Close_time</f>
        <v>45500.843055555553</v>
      </c>
      <c r="E38" s="96"/>
      <c r="F38" s="97" t="str">
        <f>IF(ISBLANK(Control_6 Establishment_3),"",Control_6 Establishment_3)</f>
        <v>112 Island Hwy W</v>
      </c>
      <c r="G38" s="124" t="str">
        <f>IF(ISBLANK('Control Entry'!K20),"",'Control Entry'!K20)</f>
        <v/>
      </c>
      <c r="H38" s="125"/>
      <c r="I38" s="126"/>
      <c r="J38" s="98"/>
    </row>
    <row r="39" spans="2:10" ht="40" customHeight="1" x14ac:dyDescent="0.25">
      <c r="B39" s="88"/>
      <c r="C39" s="100">
        <f>Control_7 Open_time</f>
        <v>45500.538194444445</v>
      </c>
      <c r="D39" s="100">
        <f>Control_7 Close_time</f>
        <v>45500.897916666669</v>
      </c>
      <c r="E39" s="99"/>
      <c r="F39" s="90" t="str">
        <f>IF(ISBLANK(Control_7 Establishment_1),"",Control_7 Establishment_1)</f>
        <v>INFORMATION</v>
      </c>
      <c r="G39" s="127" t="str">
        <f>IF(ISBLANK('Control Entry'!I21),"",'Control Entry'!I21)</f>
        <v>Sit on bench, yellow sign in front</v>
      </c>
      <c r="H39" s="128"/>
      <c r="I39" s="129"/>
      <c r="J39" s="91"/>
    </row>
    <row r="40" spans="2:10" ht="40" customHeight="1" x14ac:dyDescent="0.25">
      <c r="B40" s="92">
        <f>IF(ISBLANK(Distance Control_7),"",Control_7 Distance)</f>
        <v>233.2</v>
      </c>
      <c r="C40" s="93">
        <f>Control_7 Open_time</f>
        <v>45500.538194444445</v>
      </c>
      <c r="D40" s="93">
        <f>Control_7 Close_time</f>
        <v>45500.897916666669</v>
      </c>
      <c r="E40" s="90" t="str">
        <f>IF(ISBLANK(Locale Control_7),"",Locale Control_7)</f>
        <v>LITTLE QUALICUM</v>
      </c>
      <c r="F40" s="90" t="str">
        <f>IF(ISBLANK(Control_7 Establishment_2),"",Control_7 Establishment_2)</f>
        <v>Middle Bridge</v>
      </c>
      <c r="G40" s="130" t="str">
        <f>IF(ISBLANK('Control Entry'!J21),"",'Control Entry'!J21)</f>
        <v>"____?____Danger…"</v>
      </c>
      <c r="H40" s="131"/>
      <c r="I40" s="132"/>
      <c r="J40" s="94"/>
    </row>
    <row r="41" spans="2:10" ht="40" customHeight="1" thickBot="1" x14ac:dyDescent="0.3">
      <c r="B41" s="95"/>
      <c r="C41" s="101">
        <f>Control_7 Open_time</f>
        <v>45500.538194444445</v>
      </c>
      <c r="D41" s="101">
        <f>Control_7 Close_time</f>
        <v>45500.897916666669</v>
      </c>
      <c r="E41" s="96"/>
      <c r="F41" s="97" t="str">
        <f>IF(ISBLANK(Control_7 Establishment_3),"",Control_7 Establishment_3)</f>
        <v>Little Qualicum Falls Provincial Park</v>
      </c>
      <c r="G41" s="124" t="str">
        <f>IF(ISBLANK('Control Entry'!K21),"",'Control Entry'!K21)</f>
        <v/>
      </c>
      <c r="H41" s="125"/>
      <c r="I41" s="126"/>
      <c r="J41" s="98"/>
    </row>
    <row r="42" spans="2:10" ht="40" customHeight="1" x14ac:dyDescent="0.25">
      <c r="B42" s="88"/>
      <c r="C42" s="100">
        <f>Control_8 Open_time</f>
        <v>45500.572916666664</v>
      </c>
      <c r="D42" s="100">
        <f>Control_8 Close_time</f>
        <v>45500.970833333333</v>
      </c>
      <c r="E42" s="99"/>
      <c r="F42" s="90" t="str">
        <f>IF(ISBLANK(Control_8 Establishment_1),"",Control_8 Establishment_1)</f>
        <v>INFORMATION</v>
      </c>
      <c r="G42" s="127" t="str">
        <f>IF(ISBLANK('Control Entry'!I22),"",'Control Entry'!I22)</f>
        <v>Sign post at beach access</v>
      </c>
      <c r="H42" s="128"/>
      <c r="I42" s="129"/>
      <c r="J42" s="91"/>
    </row>
    <row r="43" spans="2:10" ht="40" customHeight="1" x14ac:dyDescent="0.25">
      <c r="B43" s="92">
        <f>IF(ISBLANK(Distance Control_8),"",Control_8 Distance)</f>
        <v>259.60000000000002</v>
      </c>
      <c r="C43" s="93">
        <f>Control_8 Open_time</f>
        <v>45500.572916666664</v>
      </c>
      <c r="D43" s="93">
        <f>Control_8 Close_time</f>
        <v>45500.970833333333</v>
      </c>
      <c r="E43" s="90" t="str">
        <f>IF(ISBLANK(Locale Control_8),"",Locale Control_8)</f>
        <v>DEEP BAY</v>
      </c>
      <c r="F43" s="90" t="str">
        <f>IF(ISBLANK(Control_8 Establishment_2),"",Control_8 Establishment_2)</f>
        <v>Mapleguard Point</v>
      </c>
      <c r="G43" s="130" t="str">
        <f>IF(ISBLANK('Control Entry'!J22),"",'Control Entry'!J22)</f>
        <v>Where is no fires sign?</v>
      </c>
      <c r="H43" s="131"/>
      <c r="I43" s="132"/>
      <c r="J43" s="94"/>
    </row>
    <row r="44" spans="2:10" ht="40" customHeight="1" thickBot="1" x14ac:dyDescent="0.3">
      <c r="B44" s="95"/>
      <c r="C44" s="101">
        <f>Control_8 Open_time</f>
        <v>45500.572916666664</v>
      </c>
      <c r="D44" s="101">
        <f>Control_8 Close_time</f>
        <v>45500.970833333333</v>
      </c>
      <c r="E44" s="96"/>
      <c r="F44" s="97" t="str">
        <f>IF(ISBLANK(Control_8 Establishment_3),"",Control_8 Establishment_3)</f>
        <v>5550 Deep Bay Dr</v>
      </c>
      <c r="G44" s="124" t="str">
        <f>IF(ISBLANK('Control Entry'!K22),"",'Control Entry'!K22)</f>
        <v>TOP                   BOTTOM</v>
      </c>
      <c r="H44" s="125"/>
      <c r="I44" s="126"/>
      <c r="J44" s="98"/>
    </row>
    <row r="45" spans="2:10" ht="40" customHeight="1" x14ac:dyDescent="0.25">
      <c r="B45" s="88"/>
      <c r="C45" s="100">
        <f>Control_9 Open_time</f>
        <v>45500.627083333333</v>
      </c>
      <c r="D45" s="100">
        <f>Control_9 Close_time</f>
        <v>45501.083333333336</v>
      </c>
      <c r="E45" s="99"/>
      <c r="F45" s="90" t="str">
        <f>IF(ISBLANK(Control_9 Establishment_1),"",Control_9 Establishment_1)</f>
        <v>STAFFED</v>
      </c>
      <c r="G45" s="127" t="str">
        <f>IF(ISBLANK('Control Entry'!I23),"",'Control Entry'!I23)</f>
        <v>Self sign if closed</v>
      </c>
      <c r="H45" s="128"/>
      <c r="I45" s="129"/>
      <c r="J45" s="91"/>
    </row>
    <row r="46" spans="2:10" ht="40" customHeight="1" x14ac:dyDescent="0.25">
      <c r="B46" s="92">
        <f>IF(ISBLANK(Distance Control_9),"",Control_9 Distance)</f>
        <v>301.10000000000002</v>
      </c>
      <c r="C46" s="93">
        <f>Control_9 Open_time</f>
        <v>45500.627083333333</v>
      </c>
      <c r="D46" s="93">
        <f>Control_9 Close_time</f>
        <v>45501.083333333336</v>
      </c>
      <c r="E46" s="90" t="str">
        <f>IF(ISBLANK(Locale Control_9),"",Locale Control_9)</f>
        <v>COURTENAY</v>
      </c>
      <c r="F46" s="90" t="str">
        <f>IF(ISBLANK(Control_9 Establishment_2),"",Control_9 Establishment_2)</f>
        <v>Royal Lepage</v>
      </c>
      <c r="G46" s="130" t="str">
        <f>IF(ISBLANK('Control Entry'!J23),"",'Control Entry'!J23)</f>
        <v/>
      </c>
      <c r="H46" s="131"/>
      <c r="I46" s="132"/>
      <c r="J46" s="94"/>
    </row>
    <row r="47" spans="2:10" ht="40" customHeight="1" thickBot="1" x14ac:dyDescent="0.3">
      <c r="B47" s="95"/>
      <c r="C47" s="101">
        <f>Control_9 Open_time</f>
        <v>45500.627083333333</v>
      </c>
      <c r="D47" s="101">
        <f>Control_9 Close_time</f>
        <v>45501.083333333336</v>
      </c>
      <c r="E47" s="96"/>
      <c r="F47" s="97" t="str">
        <f>IF(ISBLANK(Control_9 Establishment_3),"",Control_9 Establishment_3)</f>
        <v>750 Comox Rd</v>
      </c>
      <c r="G47" s="124" t="str">
        <f>IF(ISBLANK('Control Entry'!K23),"",'Control Entry'!K23)</f>
        <v/>
      </c>
      <c r="H47" s="125"/>
      <c r="I47" s="126"/>
      <c r="J47" s="98"/>
    </row>
    <row r="48" spans="2:10" ht="40" customHeight="1" x14ac:dyDescent="0.25">
      <c r="B48" s="88"/>
      <c r="C48" s="100" t="str">
        <f>Control_10 Open_time</f>
        <v/>
      </c>
      <c r="D48" s="100" t="str">
        <f>Control_10 Close_time</f>
        <v/>
      </c>
      <c r="E48" s="99"/>
      <c r="F48" s="90" t="str">
        <f>IF(ISBLANK(Control_10 Establishment_1),"",Control_10 Establishment_1)</f>
        <v/>
      </c>
      <c r="G48" s="127" t="str">
        <f>IF(ISBLANK('Control Entry'!I24),"",'Control Entry'!I24)</f>
        <v/>
      </c>
      <c r="H48" s="128"/>
      <c r="I48" s="129"/>
      <c r="J48" s="91"/>
    </row>
    <row r="49" spans="2:11" ht="40" customHeight="1" x14ac:dyDescent="0.25">
      <c r="B49" s="92" t="str">
        <f>IF(ISBLANK(Distance Control_10),"",Control_10 Distance)</f>
        <v/>
      </c>
      <c r="C49" s="93" t="str">
        <f>Control_10 Open_time</f>
        <v/>
      </c>
      <c r="D49" s="93" t="str">
        <f>Control_10 Close_time</f>
        <v/>
      </c>
      <c r="E49" s="90" t="str">
        <f>IF(ISBLANK(Locale Control_10),"",Locale Control_10)</f>
        <v/>
      </c>
      <c r="F49" s="90" t="str">
        <f>IF(ISBLANK(Control_10 Establishment_2),"",Control_10 Establishment_2)</f>
        <v/>
      </c>
      <c r="G49" s="130" t="str">
        <f>IF(ISBLANK('Control Entry'!J24),"",'Control Entry'!J24)</f>
        <v/>
      </c>
      <c r="H49" s="131"/>
      <c r="I49" s="132"/>
      <c r="J49" s="94"/>
    </row>
    <row r="50" spans="2:11" ht="40" customHeight="1" thickBot="1" x14ac:dyDescent="0.3">
      <c r="B50" s="95"/>
      <c r="C50" s="101" t="str">
        <f>Control_10 Open_time</f>
        <v/>
      </c>
      <c r="D50" s="101" t="str">
        <f>Control_10 Close_time</f>
        <v/>
      </c>
      <c r="E50" s="96"/>
      <c r="F50" s="97" t="str">
        <f>IF(ISBLANK(Control_10 Establishment_3),"",Control_10 Establishment_3)</f>
        <v/>
      </c>
      <c r="G50" s="124" t="str">
        <f>IF(ISBLANK('Control Entry'!K24),"",'Control Entry'!K24)</f>
        <v/>
      </c>
      <c r="H50" s="125"/>
      <c r="I50" s="126"/>
      <c r="J50" s="98"/>
    </row>
    <row r="52" spans="2:11" ht="24" customHeight="1" x14ac:dyDescent="0.15">
      <c r="B52" s="141" t="s">
        <v>30</v>
      </c>
      <c r="C52" s="141"/>
      <c r="D52" s="141"/>
      <c r="E52" s="141"/>
      <c r="F52" s="141"/>
      <c r="I52" s="58" t="s">
        <v>56</v>
      </c>
      <c r="J52" s="81" t="str">
        <f>IF(ISBLANK('Control Entry'!F10),"",'Control Entry'!F10)</f>
        <v>‭1 (604) 866-7804‬</v>
      </c>
      <c r="K52" s="54"/>
    </row>
    <row r="54" spans="2:11" x14ac:dyDescent="0.15">
      <c r="B54" s="76" t="s">
        <v>59</v>
      </c>
      <c r="C54" s="77">
        <f>'Control Entry'!B3</f>
        <v>45393</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39"/>
      <c r="G57" s="140"/>
      <c r="H57" s="140"/>
      <c r="I57" s="140"/>
      <c r="J57" s="140"/>
    </row>
  </sheetData>
  <mergeCells count="50">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 ref="G47:I47"/>
    <mergeCell ref="G20:I20"/>
    <mergeCell ref="D12:E12"/>
    <mergeCell ref="D14:E14"/>
    <mergeCell ref="G27:I27"/>
    <mergeCell ref="G28:I28"/>
    <mergeCell ref="G26:I26"/>
    <mergeCell ref="C17:F17"/>
    <mergeCell ref="G37:I37"/>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C2:F2"/>
    <mergeCell ref="B19:J19"/>
    <mergeCell ref="B10:C10"/>
    <mergeCell ref="E10:G10"/>
    <mergeCell ref="C7:F8"/>
    <mergeCell ref="H7:H8"/>
    <mergeCell ref="E5:H6"/>
    <mergeCell ref="E3:H3"/>
    <mergeCell ref="E4:H4"/>
  </mergeCells>
  <printOptions horizontalCentered="1" verticalCentered="1"/>
  <pageMargins left="0.39370078740157483" right="0.39370078740157483" top="0.39370078740157483" bottom="0.39370078740157483" header="0.15748031496062992" footer="0.15748031496062992"/>
  <pageSetup scale="43"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900F-F270-644D-8463-167507B73A41}">
  <sheetPr>
    <pageSetUpPr fitToPage="1"/>
  </sheetPr>
  <dimension ref="B1:O57"/>
  <sheetViews>
    <sheetView topLeftCell="A25" zoomScale="115" zoomScaleNormal="115" zoomScalePageLayoutView="75" workbookViewId="0">
      <selection activeCell="C14" sqref="C14"/>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12" t="s">
        <v>33</v>
      </c>
      <c r="D2" s="112"/>
      <c r="E2" s="112"/>
      <c r="F2" s="112"/>
      <c r="G2" s="55"/>
      <c r="H2" s="55"/>
      <c r="I2" s="78" t="s">
        <v>58</v>
      </c>
      <c r="J2" s="79">
        <f>'Control Entry'!B4</f>
        <v>45484</v>
      </c>
      <c r="K2" s="55"/>
      <c r="L2" s="55"/>
    </row>
    <row r="3" spans="2:15" ht="45" customHeight="1" x14ac:dyDescent="0.45">
      <c r="D3" s="12"/>
      <c r="E3" s="121" t="s">
        <v>29</v>
      </c>
      <c r="F3" s="121"/>
      <c r="G3" s="121"/>
      <c r="H3" s="121"/>
      <c r="I3" s="66" t="s">
        <v>60</v>
      </c>
      <c r="J3" s="71">
        <f>IF(ISBLANK(Brevet_Number),"",Brevet_Number)</f>
        <v>5407</v>
      </c>
      <c r="K3" s="39"/>
      <c r="L3" s="39"/>
    </row>
    <row r="4" spans="2:15" ht="20" customHeight="1" x14ac:dyDescent="0.15">
      <c r="C4" s="12"/>
      <c r="E4" s="122" t="str">
        <f>IF(ISBLANK(Brevet_Length),"",Brevet_Length&amp;" km Randonnée")</f>
        <v>300 km Randonnée</v>
      </c>
      <c r="F4" s="122"/>
      <c r="G4" s="122"/>
      <c r="H4" s="122"/>
      <c r="K4" s="51"/>
      <c r="L4" s="51"/>
    </row>
    <row r="5" spans="2:15" ht="20" customHeight="1" x14ac:dyDescent="0.2">
      <c r="D5" s="52"/>
      <c r="E5" s="120" t="str">
        <f>IF(ISBLANK(Brevet_Description),"",Brevet_Description)</f>
        <v>Parks and Rivers</v>
      </c>
      <c r="F5" s="120"/>
      <c r="G5" s="120"/>
      <c r="H5" s="120"/>
      <c r="I5" s="74"/>
      <c r="J5" s="52"/>
      <c r="K5" s="52"/>
      <c r="L5" s="52"/>
    </row>
    <row r="6" spans="2:15" ht="20" x14ac:dyDescent="0.2">
      <c r="D6" s="67"/>
      <c r="E6" s="120"/>
      <c r="F6" s="120"/>
      <c r="G6" s="120"/>
      <c r="H6" s="120"/>
      <c r="I6" s="74"/>
      <c r="J6" s="67"/>
      <c r="K6" s="52"/>
      <c r="L6" s="52"/>
    </row>
    <row r="7" spans="2:15" ht="25" customHeight="1" x14ac:dyDescent="0.15">
      <c r="C7" s="116"/>
      <c r="D7" s="116"/>
      <c r="E7" s="116"/>
      <c r="F7" s="116"/>
      <c r="H7" s="118"/>
    </row>
    <row r="8" spans="2:15" ht="21" thickBot="1" x14ac:dyDescent="0.25">
      <c r="B8" s="17" t="s">
        <v>61</v>
      </c>
      <c r="C8" s="117"/>
      <c r="D8" s="117"/>
      <c r="E8" s="117"/>
      <c r="F8" s="117"/>
      <c r="G8" s="17" t="s">
        <v>31</v>
      </c>
      <c r="H8" s="119"/>
      <c r="I8" s="53"/>
      <c r="J8" s="53"/>
      <c r="K8" s="53"/>
    </row>
    <row r="9" spans="2:15" ht="22" customHeight="1" x14ac:dyDescent="0.15">
      <c r="B9" s="58"/>
      <c r="C9" s="58"/>
      <c r="D9" s="58"/>
      <c r="E9" s="58"/>
      <c r="F9" s="54"/>
      <c r="G9" s="60"/>
      <c r="H9" s="60"/>
      <c r="I9" s="60"/>
      <c r="J9" s="54"/>
    </row>
    <row r="10" spans="2:15" ht="20" customHeight="1" x14ac:dyDescent="0.15">
      <c r="B10" s="114" t="s">
        <v>34</v>
      </c>
      <c r="C10" s="114"/>
      <c r="D10" s="64" t="s">
        <v>35</v>
      </c>
      <c r="E10" s="115" t="s">
        <v>57</v>
      </c>
      <c r="F10" s="115"/>
      <c r="G10" s="115"/>
      <c r="H10" s="70"/>
      <c r="I10" s="59"/>
      <c r="J10" s="59"/>
      <c r="K10" s="19"/>
      <c r="L10" s="123"/>
      <c r="M10" s="123"/>
      <c r="N10" s="123"/>
      <c r="O10" s="123"/>
    </row>
    <row r="11" spans="2:15" ht="23" x14ac:dyDescent="0.15">
      <c r="B11" s="58"/>
      <c r="C11" s="58" t="s">
        <v>73</v>
      </c>
      <c r="D11" s="58"/>
      <c r="E11" s="58"/>
      <c r="F11" s="54"/>
      <c r="G11" s="60"/>
      <c r="H11" s="60"/>
      <c r="I11" s="60"/>
      <c r="J11" s="54"/>
    </row>
    <row r="12" spans="2:15" ht="21" thickBot="1" x14ac:dyDescent="0.25">
      <c r="D12" s="137" t="s">
        <v>19</v>
      </c>
      <c r="E12" s="137"/>
      <c r="F12" s="69">
        <f>IF(ISBLANK('Control Entry'!B12),"",'Control Entry'!B12)</f>
        <v>45500</v>
      </c>
      <c r="G12" s="73"/>
      <c r="H12" s="17" t="s">
        <v>63</v>
      </c>
      <c r="I12" s="68">
        <f>IF(ISBLANK('Control Entry'!B13),"",'Control Entry'!B13)</f>
        <v>0.25</v>
      </c>
      <c r="J12" s="23"/>
    </row>
    <row r="13" spans="2:15" ht="20" x14ac:dyDescent="0.2">
      <c r="D13" s="22"/>
      <c r="E13" s="22"/>
      <c r="F13" s="21"/>
      <c r="G13" s="21"/>
      <c r="H13" s="21"/>
      <c r="L13" s="23"/>
      <c r="M13" s="23"/>
      <c r="N13" s="23"/>
    </row>
    <row r="14" spans="2:15" ht="21" thickBot="1" x14ac:dyDescent="0.25">
      <c r="D14" s="137" t="s">
        <v>62</v>
      </c>
      <c r="E14" s="137"/>
      <c r="F14" s="69"/>
      <c r="G14" s="73"/>
      <c r="H14" s="17" t="s">
        <v>64</v>
      </c>
      <c r="I14" s="68"/>
      <c r="J14" s="23"/>
      <c r="L14" s="45"/>
      <c r="M14" s="45"/>
      <c r="N14" s="45"/>
    </row>
    <row r="15" spans="2:15" ht="20" x14ac:dyDescent="0.2">
      <c r="B15" s="22"/>
      <c r="C15" s="22"/>
      <c r="D15" s="21"/>
      <c r="E15" s="21"/>
      <c r="H15" s="21"/>
    </row>
    <row r="16" spans="2:15" ht="21" thickBot="1" x14ac:dyDescent="0.25">
      <c r="C16" s="65"/>
      <c r="D16" s="65"/>
      <c r="E16" s="65"/>
      <c r="F16" s="65"/>
      <c r="H16" s="17" t="s">
        <v>65</v>
      </c>
      <c r="I16" s="68"/>
      <c r="J16" s="23"/>
      <c r="L16" s="45"/>
      <c r="M16" s="45"/>
      <c r="N16" s="45"/>
    </row>
    <row r="17" spans="2:15" ht="20" x14ac:dyDescent="0.15">
      <c r="C17" s="138" t="s">
        <v>14</v>
      </c>
      <c r="D17" s="138"/>
      <c r="E17" s="138"/>
      <c r="F17" s="138"/>
      <c r="G17" s="19"/>
      <c r="H17" s="19"/>
      <c r="I17" s="133"/>
      <c r="J17" s="133"/>
      <c r="K17" s="19"/>
      <c r="L17" s="123"/>
      <c r="M17" s="123"/>
      <c r="N17" s="123"/>
      <c r="O17" s="123"/>
    </row>
    <row r="18" spans="2:15" ht="6" customHeight="1" thickBot="1" x14ac:dyDescent="0.2">
      <c r="B18" s="61"/>
      <c r="C18" s="61"/>
      <c r="D18" s="61"/>
      <c r="E18" s="61"/>
      <c r="F18" s="62"/>
      <c r="G18" s="63"/>
      <c r="H18" s="63"/>
      <c r="I18" s="63"/>
      <c r="J18" s="62"/>
    </row>
    <row r="19" spans="2:15" ht="22" thickTop="1" thickBot="1" x14ac:dyDescent="0.2">
      <c r="B19" s="113" t="s">
        <v>50</v>
      </c>
      <c r="C19" s="113"/>
      <c r="D19" s="113"/>
      <c r="E19" s="113"/>
      <c r="F19" s="113"/>
      <c r="G19" s="113"/>
      <c r="H19" s="113"/>
      <c r="I19" s="113"/>
      <c r="J19" s="113"/>
    </row>
    <row r="20" spans="2:15" ht="20" thickBot="1" x14ac:dyDescent="0.25">
      <c r="B20" s="50" t="s">
        <v>26</v>
      </c>
      <c r="C20" s="8" t="s">
        <v>0</v>
      </c>
      <c r="D20" s="8" t="s">
        <v>1</v>
      </c>
      <c r="E20" s="8" t="s">
        <v>22</v>
      </c>
      <c r="F20" s="8" t="s">
        <v>27</v>
      </c>
      <c r="G20" s="134" t="s">
        <v>36</v>
      </c>
      <c r="H20" s="135"/>
      <c r="I20" s="136"/>
      <c r="J20" s="50" t="s">
        <v>28</v>
      </c>
    </row>
    <row r="21" spans="2:15" ht="40" customHeight="1" x14ac:dyDescent="0.25">
      <c r="B21" s="88"/>
      <c r="C21" s="100">
        <f>'Control Entry'!N$28</f>
        <v>45500.25</v>
      </c>
      <c r="D21" s="100">
        <f>'Control Entry'!O$28</f>
        <v>45500.291666666664</v>
      </c>
      <c r="E21" s="89"/>
      <c r="F21" s="90" t="str">
        <f>IF(ISBLANK('Control Entry'!F$28),"",'Control Entry'!F$28)</f>
        <v>BUSINESS</v>
      </c>
      <c r="G21" s="127" t="str">
        <f>IF(ISBLANK('Control Entry'!I$28),"",'Control Entry'!I$28)</f>
        <v/>
      </c>
      <c r="H21" s="128"/>
      <c r="I21" s="129"/>
      <c r="J21" s="91"/>
    </row>
    <row r="22" spans="2:15" ht="40" customHeight="1" x14ac:dyDescent="0.25">
      <c r="B22" s="92">
        <f>IF(ISBLANK('Control Entry'!D$28),"",'Control Entry'!D$28)</f>
        <v>0</v>
      </c>
      <c r="C22" s="93">
        <f>'Control Entry'!N$28</f>
        <v>45500.25</v>
      </c>
      <c r="D22" s="93">
        <f>'Control Entry'!O$28</f>
        <v>45500.291666666664</v>
      </c>
      <c r="E22" s="90" t="str">
        <f>IF(ISBLANK('Control Entry'!E$28),"",'Control Entry'!E$28)</f>
        <v>PARKSVILLE</v>
      </c>
      <c r="F22" s="90" t="str">
        <f>IF(ISBLANK('Control Entry'!G$28),"",'Control Entry'!G$28)</f>
        <v>Chevron Gas</v>
      </c>
      <c r="G22" s="130" t="str">
        <f>IF(ISBLANK('Control Entry'!J$28),"",'Control Entry'!J$28)</f>
        <v/>
      </c>
      <c r="H22" s="131"/>
      <c r="I22" s="132"/>
      <c r="J22" s="94"/>
    </row>
    <row r="23" spans="2:15" ht="40" customHeight="1" thickBot="1" x14ac:dyDescent="0.3">
      <c r="B23" s="95"/>
      <c r="C23" s="101">
        <f>'Control Entry'!N$28</f>
        <v>45500.25</v>
      </c>
      <c r="D23" s="101">
        <f>'Control Entry'!O$28</f>
        <v>45500.291666666664</v>
      </c>
      <c r="E23" s="96"/>
      <c r="F23" s="97" t="str">
        <f>IF(ISBLANK('Control Entry'!H$28),"",'Control Entry'!H$28)</f>
        <v>112 Island Hwy W</v>
      </c>
      <c r="G23" s="124" t="str">
        <f>IF(ISBLANK('Control Entry'!K$28),"",'Control Entry'!K$28)</f>
        <v/>
      </c>
      <c r="H23" s="125"/>
      <c r="I23" s="126"/>
      <c r="J23" s="98"/>
    </row>
    <row r="24" spans="2:15" ht="40" customHeight="1" x14ac:dyDescent="0.25">
      <c r="B24" s="88"/>
      <c r="C24" s="100">
        <f>'Control Entry'!N$29</f>
        <v>45500.274305555555</v>
      </c>
      <c r="D24" s="100">
        <f>'Control Entry'!O$29</f>
        <v>45500.332638888889</v>
      </c>
      <c r="E24" s="89"/>
      <c r="F24" s="90" t="str">
        <f>IF(ISBLANK('Control Entry'!F$29),"",'Control Entry'!F$29)</f>
        <v>INFORMATION</v>
      </c>
      <c r="G24" s="127" t="str">
        <f>IF(ISBLANK('Control Entry'!I$29),"",'Control Entry'!I$29)</f>
        <v>Sit on bench, yellow sign in front</v>
      </c>
      <c r="H24" s="128"/>
      <c r="I24" s="129"/>
      <c r="J24" s="91"/>
    </row>
    <row r="25" spans="2:15" ht="40" customHeight="1" x14ac:dyDescent="0.25">
      <c r="B25" s="92">
        <f>IF(ISBLANK('Control Entry'!D$29),"",'Control Entry'!D$29)</f>
        <v>19.599999999999994</v>
      </c>
      <c r="C25" s="93">
        <f>'Control Entry'!N$29</f>
        <v>45500.274305555555</v>
      </c>
      <c r="D25" s="93">
        <f>'Control Entry'!O$29</f>
        <v>45500.332638888889</v>
      </c>
      <c r="E25" s="90" t="str">
        <f>IF(ISBLANK('Control Entry'!E$29),"",'Control Entry'!E$29)</f>
        <v>LITTLE QUALICUM</v>
      </c>
      <c r="F25" s="90" t="str">
        <f>IF(ISBLANK('Control Entry'!G$29),"",'Control Entry'!G$29)</f>
        <v>Middle Bridge</v>
      </c>
      <c r="G25" s="130" t="str">
        <f>IF(ISBLANK('Control Entry'!J$29),"",'Control Entry'!J$29)</f>
        <v>"____?____Danger…"</v>
      </c>
      <c r="H25" s="131"/>
      <c r="I25" s="132"/>
      <c r="J25" s="94"/>
    </row>
    <row r="26" spans="2:15" ht="40" customHeight="1" thickBot="1" x14ac:dyDescent="0.3">
      <c r="B26" s="95"/>
      <c r="C26" s="101">
        <f>'Control Entry'!N$29</f>
        <v>45500.274305555555</v>
      </c>
      <c r="D26" s="101">
        <f>'Control Entry'!O$29</f>
        <v>45500.332638888889</v>
      </c>
      <c r="E26" s="96"/>
      <c r="F26" s="97" t="str">
        <f>IF(ISBLANK('Control Entry'!H$29),"",'Control Entry'!H$29)</f>
        <v>Little Qualicum Falls Provincial Park</v>
      </c>
      <c r="G26" s="124" t="str">
        <f>IF(ISBLANK('Control Entry'!K$29),"",'Control Entry'!K$29)</f>
        <v/>
      </c>
      <c r="H26" s="125"/>
      <c r="I26" s="126"/>
      <c r="J26" s="98"/>
    </row>
    <row r="27" spans="2:15" ht="40" customHeight="1" x14ac:dyDescent="0.25">
      <c r="B27" s="88"/>
      <c r="C27" s="100">
        <f>'Control Entry'!N$30</f>
        <v>45500.306250000001</v>
      </c>
      <c r="D27" s="100">
        <f>'Control Entry'!O$30</f>
        <v>45500.387499999997</v>
      </c>
      <c r="E27" s="89"/>
      <c r="F27" s="90" t="str">
        <f>IF(ISBLANK('Control Entry'!F$30),"",'Control Entry'!F$30)</f>
        <v>INFORMATION</v>
      </c>
      <c r="G27" s="127" t="str">
        <f>IF(ISBLANK('Control Entry'!I$30),"",'Control Entry'!I$30)</f>
        <v>Sign post at beach access</v>
      </c>
      <c r="H27" s="128"/>
      <c r="I27" s="129"/>
      <c r="J27" s="91"/>
    </row>
    <row r="28" spans="2:15" ht="40" customHeight="1" x14ac:dyDescent="0.25">
      <c r="B28" s="92">
        <f>IF(ISBLANK('Control Entry'!D$30),"",'Control Entry'!D$30)</f>
        <v>46.000000000000028</v>
      </c>
      <c r="C28" s="93">
        <f>'Control Entry'!N$30</f>
        <v>45500.306250000001</v>
      </c>
      <c r="D28" s="93">
        <f>'Control Entry'!O$30</f>
        <v>45500.387499999997</v>
      </c>
      <c r="E28" s="90" t="str">
        <f>IF(ISBLANK('Control Entry'!E$30),"",'Control Entry'!E$30)</f>
        <v>DEEP BAY</v>
      </c>
      <c r="F28" s="90" t="str">
        <f>IF(ISBLANK('Control Entry'!G$30),"",'Control Entry'!G$30)</f>
        <v>Mapleguard Point</v>
      </c>
      <c r="G28" s="130" t="str">
        <f>IF(ISBLANK('Control Entry'!J$30),"",'Control Entry'!J$30)</f>
        <v>Where is no fires sign?</v>
      </c>
      <c r="H28" s="131"/>
      <c r="I28" s="132"/>
      <c r="J28" s="94"/>
    </row>
    <row r="29" spans="2:15" ht="40" customHeight="1" thickBot="1" x14ac:dyDescent="0.3">
      <c r="B29" s="95"/>
      <c r="C29" s="101">
        <f>'Control Entry'!N$30</f>
        <v>45500.306250000001</v>
      </c>
      <c r="D29" s="101">
        <f>'Control Entry'!O$30</f>
        <v>45500.387499999997</v>
      </c>
      <c r="E29" s="96"/>
      <c r="F29" s="97" t="str">
        <f>IF(ISBLANK('Control Entry'!H$30),"",'Control Entry'!H$30)</f>
        <v>5550 Deep Bay Dr</v>
      </c>
      <c r="G29" s="124" t="str">
        <f>IF(ISBLANK('Control Entry'!K$30),"",'Control Entry'!K$30)</f>
        <v>TOP                   BOTTOM</v>
      </c>
      <c r="H29" s="125"/>
      <c r="I29" s="126"/>
      <c r="J29" s="98"/>
    </row>
    <row r="30" spans="2:15" ht="40" customHeight="1" x14ac:dyDescent="0.25">
      <c r="B30" s="88"/>
      <c r="C30" s="100">
        <f>'Control Entry'!N$31</f>
        <v>45500.356944444444</v>
      </c>
      <c r="D30" s="100">
        <f>'Control Entry'!O$31</f>
        <v>45500.493055555555</v>
      </c>
      <c r="E30" s="89"/>
      <c r="F30" s="90" t="str">
        <f>IF(ISBLANK('Control Entry'!F$31),"",'Control Entry'!F$31)</f>
        <v>STAFFED</v>
      </c>
      <c r="G30" s="127" t="str">
        <f>IF(ISBLANK('Control Entry'!I$31),"",'Control Entry'!I$31)</f>
        <v>Self sign if closed</v>
      </c>
      <c r="H30" s="128"/>
      <c r="I30" s="129"/>
      <c r="J30" s="91"/>
    </row>
    <row r="31" spans="2:15" ht="40" customHeight="1" x14ac:dyDescent="0.25">
      <c r="B31" s="92">
        <f>IF(ISBLANK('Control Entry'!D$31),"",'Control Entry'!D$31)</f>
        <v>87.500000000000028</v>
      </c>
      <c r="C31" s="93">
        <f>'Control Entry'!N$31</f>
        <v>45500.356944444444</v>
      </c>
      <c r="D31" s="93">
        <f>'Control Entry'!O$31</f>
        <v>45500.493055555555</v>
      </c>
      <c r="E31" s="90" t="str">
        <f>IF(ISBLANK('Control Entry'!E$31),"",'Control Entry'!E$31)</f>
        <v>COURTENAY</v>
      </c>
      <c r="F31" s="90" t="str">
        <f>IF(ISBLANK('Control Entry'!G$31),"",'Control Entry'!G$31)</f>
        <v>Royal Lepage</v>
      </c>
      <c r="G31" s="130" t="str">
        <f>IF(ISBLANK('Control Entry'!J$31),"",'Control Entry'!J$31)</f>
        <v/>
      </c>
      <c r="H31" s="131"/>
      <c r="I31" s="132"/>
      <c r="J31" s="94"/>
    </row>
    <row r="32" spans="2:15" ht="40" customHeight="1" thickBot="1" x14ac:dyDescent="0.3">
      <c r="B32" s="95"/>
      <c r="C32" s="101">
        <f>'Control Entry'!N$31</f>
        <v>45500.356944444444</v>
      </c>
      <c r="D32" s="101">
        <f>'Control Entry'!O$31</f>
        <v>45500.493055555555</v>
      </c>
      <c r="E32" s="96"/>
      <c r="F32" s="97" t="str">
        <f>IF(ISBLANK('Control Entry'!H$31),"",'Control Entry'!H$31)</f>
        <v>750 Comox Rd</v>
      </c>
      <c r="G32" s="124" t="str">
        <f>IF(ISBLANK('Control Entry'!K$31),"",'Control Entry'!K$31)</f>
        <v/>
      </c>
      <c r="H32" s="125"/>
      <c r="I32" s="126"/>
      <c r="J32" s="98"/>
    </row>
    <row r="33" spans="2:10" ht="40" customHeight="1" x14ac:dyDescent="0.25">
      <c r="B33" s="88"/>
      <c r="C33" s="100">
        <f>'Control Entry'!N$32</f>
        <v>45500.375</v>
      </c>
      <c r="D33" s="100">
        <f>'Control Entry'!O$32</f>
        <v>45500.533333333333</v>
      </c>
      <c r="E33" s="89"/>
      <c r="F33" s="90" t="str">
        <f>IF(ISBLANK('Control Entry'!F$32),"",'Control Entry'!F$32)</f>
        <v>INFORMATION</v>
      </c>
      <c r="G33" s="127" t="str">
        <f>IF(ISBLANK('Control Entry'!I$32),"",'Control Entry'!I$32)</f>
        <v>Sign post at beach access</v>
      </c>
      <c r="H33" s="128"/>
      <c r="I33" s="129"/>
      <c r="J33" s="91"/>
    </row>
    <row r="34" spans="2:10" ht="40" customHeight="1" x14ac:dyDescent="0.25">
      <c r="B34" s="92">
        <f>IF(ISBLANK('Control Entry'!D$32),"",'Control Entry'!D$32)</f>
        <v>102.10000000000002</v>
      </c>
      <c r="C34" s="93">
        <f>'Control Entry'!N$32</f>
        <v>45500.375</v>
      </c>
      <c r="D34" s="93">
        <f>'Control Entry'!O$32</f>
        <v>45500.533333333333</v>
      </c>
      <c r="E34" s="90" t="str">
        <f>IF(ISBLANK('Control Entry'!E$32),"",'Control Entry'!E$32)</f>
        <v>LITTLE RIVER</v>
      </c>
      <c r="F34" s="90" t="str">
        <f>IF(ISBLANK('Control Entry'!G$32),"",'Control Entry'!G$32)</f>
        <v>Singing Sands Beach Access</v>
      </c>
      <c r="G34" s="130" t="str">
        <f>IF(ISBLANK('Control Entry'!J$32),"",'Control Entry'!J$32)</f>
        <v/>
      </c>
      <c r="H34" s="131"/>
      <c r="I34" s="132"/>
      <c r="J34" s="94"/>
    </row>
    <row r="35" spans="2:10" ht="40" customHeight="1" thickBot="1" x14ac:dyDescent="0.3">
      <c r="B35" s="95"/>
      <c r="C35" s="101">
        <f>'Control Entry'!N$32</f>
        <v>45500.375</v>
      </c>
      <c r="D35" s="101">
        <f>'Control Entry'!O$32</f>
        <v>45500.533333333333</v>
      </c>
      <c r="E35" s="96"/>
      <c r="F35" s="97" t="str">
        <f>IF(ISBLANK('Control Entry'!H$32),"",'Control Entry'!H$32)</f>
        <v>end of road</v>
      </c>
      <c r="G35" s="124" t="str">
        <f>IF(ISBLANK('Control Entry'!K$32),"",'Control Entry'!K$32)</f>
        <v/>
      </c>
      <c r="H35" s="125"/>
      <c r="I35" s="126"/>
      <c r="J35" s="98"/>
    </row>
    <row r="36" spans="2:10" ht="40" customHeight="1" x14ac:dyDescent="0.25">
      <c r="B36" s="88"/>
      <c r="C36" s="100">
        <f>'Control Entry'!N$33</f>
        <v>45500.459027777775</v>
      </c>
      <c r="D36" s="100">
        <f>'Control Entry'!O$33</f>
        <v>45500.722916666666</v>
      </c>
      <c r="E36" s="89"/>
      <c r="F36" s="90" t="str">
        <f>IF(ISBLANK('Control Entry'!F$33),"",'Control Entry'!F$33)</f>
        <v>BUSINESS</v>
      </c>
      <c r="G36" s="127" t="str">
        <f>IF(ISBLANK('Control Entry'!I$33),"",'Control Entry'!I$33)</f>
        <v/>
      </c>
      <c r="H36" s="128"/>
      <c r="I36" s="129"/>
      <c r="J36" s="91"/>
    </row>
    <row r="37" spans="2:10" ht="40" customHeight="1" x14ac:dyDescent="0.25">
      <c r="B37" s="92">
        <f>IF(ISBLANK('Control Entry'!D$33),"",'Control Entry'!D$33)</f>
        <v>170.3</v>
      </c>
      <c r="C37" s="93">
        <f>'Control Entry'!N$33</f>
        <v>45500.459027777775</v>
      </c>
      <c r="D37" s="93">
        <f>'Control Entry'!O$33</f>
        <v>45500.722916666666</v>
      </c>
      <c r="E37" s="90" t="str">
        <f>IF(ISBLANK('Control Entry'!E$33),"",'Control Entry'!E$33)</f>
        <v>CAMPBELL RIVER</v>
      </c>
      <c r="F37" s="90" t="str">
        <f>IF(ISBLANK('Control Entry'!G$33),"",'Control Entry'!G$33)</f>
        <v>Your choice</v>
      </c>
      <c r="G37" s="130" t="str">
        <f>IF(ISBLANK('Control Entry'!J$33),"",'Control Entry'!J$33)</f>
        <v/>
      </c>
      <c r="H37" s="131"/>
      <c r="I37" s="132"/>
      <c r="J37" s="94"/>
    </row>
    <row r="38" spans="2:10" ht="40" customHeight="1" thickBot="1" x14ac:dyDescent="0.3">
      <c r="B38" s="95"/>
      <c r="C38" s="101">
        <f>'Control Entry'!N$33</f>
        <v>45500.459027777775</v>
      </c>
      <c r="D38" s="101">
        <f>'Control Entry'!O$33</f>
        <v>45500.722916666666</v>
      </c>
      <c r="E38" s="96"/>
      <c r="F38" s="97" t="str">
        <f>IF(ISBLANK('Control Entry'!H$33),"",'Control Entry'!H$33)</f>
        <v>Discovery Harbour Centre</v>
      </c>
      <c r="G38" s="124" t="str">
        <f>IF(ISBLANK('Control Entry'!K$33),"",'Control Entry'!K$33)</f>
        <v/>
      </c>
      <c r="H38" s="125"/>
      <c r="I38" s="126"/>
      <c r="J38" s="98"/>
    </row>
    <row r="39" spans="2:10" ht="40" customHeight="1" x14ac:dyDescent="0.25">
      <c r="B39" s="88"/>
      <c r="C39" s="100">
        <f>'Control Entry'!N$34</f>
        <v>45500.53125</v>
      </c>
      <c r="D39" s="100">
        <f>'Control Entry'!O$34</f>
        <v>45500.882638888892</v>
      </c>
      <c r="E39" s="89"/>
      <c r="F39" s="90" t="str">
        <f>IF(ISBLANK('Control Entry'!F$34),"",'Control Entry'!F$34)</f>
        <v>BUSINESS</v>
      </c>
      <c r="G39" s="127" t="str">
        <f>IF(ISBLANK('Control Entry'!I$34),"",'Control Entry'!I$34)</f>
        <v/>
      </c>
      <c r="H39" s="128"/>
      <c r="I39" s="129"/>
      <c r="J39" s="91"/>
    </row>
    <row r="40" spans="2:10" ht="40" customHeight="1" x14ac:dyDescent="0.25">
      <c r="B40" s="92">
        <f>IF(ISBLANK('Control Entry'!D$34),"",'Control Entry'!D$34)</f>
        <v>227.7</v>
      </c>
      <c r="C40" s="93">
        <f>'Control Entry'!N$34</f>
        <v>45500.53125</v>
      </c>
      <c r="D40" s="93">
        <f>'Control Entry'!O$34</f>
        <v>45500.882638888892</v>
      </c>
      <c r="E40" s="90" t="str">
        <f>IF(ISBLANK('Control Entry'!E$34),"",'Control Entry'!E$34)</f>
        <v>CUMBERLAND</v>
      </c>
      <c r="F40" s="90" t="str">
        <f>IF(ISBLANK('Control Entry'!G$34),"",'Control Entry'!G$34)</f>
        <v>Gas N Go</v>
      </c>
      <c r="G40" s="130" t="str">
        <f>IF(ISBLANK('Control Entry'!J$34),"",'Control Entry'!J$34)</f>
        <v/>
      </c>
      <c r="H40" s="131"/>
      <c r="I40" s="132"/>
      <c r="J40" s="94"/>
    </row>
    <row r="41" spans="2:10" ht="40" customHeight="1" thickBot="1" x14ac:dyDescent="0.3">
      <c r="B41" s="95"/>
      <c r="C41" s="101">
        <f>'Control Entry'!N$34</f>
        <v>45500.53125</v>
      </c>
      <c r="D41" s="101">
        <f>'Control Entry'!O$34</f>
        <v>45500.882638888892</v>
      </c>
      <c r="E41" s="96"/>
      <c r="F41" s="97" t="str">
        <f>IF(ISBLANK('Control Entry'!H$34),"",'Control Entry'!H$34)</f>
        <v>4690 Cumberland Rd</v>
      </c>
      <c r="G41" s="124" t="str">
        <f>IF(ISBLANK('Control Entry'!K$34),"",'Control Entry'!K$34)</f>
        <v/>
      </c>
      <c r="H41" s="125"/>
      <c r="I41" s="126"/>
      <c r="J41" s="98"/>
    </row>
    <row r="42" spans="2:10" ht="40" customHeight="1" x14ac:dyDescent="0.25">
      <c r="B42" s="88"/>
      <c r="C42" s="100">
        <f>'Control Entry'!N$35</f>
        <v>45500.588194444441</v>
      </c>
      <c r="D42" s="100">
        <f>'Control Entry'!O$35</f>
        <v>45501.004861111112</v>
      </c>
      <c r="E42" s="89"/>
      <c r="F42" s="90" t="str">
        <f>IF(ISBLANK('Control Entry'!F$35),"",'Control Entry'!F$35)</f>
        <v>BUSINESS</v>
      </c>
      <c r="G42" s="127" t="str">
        <f>IF(ISBLANK('Control Entry'!I$35),"",'Control Entry'!I$35)</f>
        <v>Self sign if closed</v>
      </c>
      <c r="H42" s="128"/>
      <c r="I42" s="129"/>
      <c r="J42" s="91"/>
    </row>
    <row r="43" spans="2:10" ht="40" customHeight="1" x14ac:dyDescent="0.25">
      <c r="B43" s="92">
        <f>IF(ISBLANK('Control Entry'!D$35),"",'Control Entry'!D$35)</f>
        <v>271.7</v>
      </c>
      <c r="C43" s="93">
        <f>'Control Entry'!N$35</f>
        <v>45500.588194444441</v>
      </c>
      <c r="D43" s="93">
        <f>'Control Entry'!O$35</f>
        <v>45501.004861111112</v>
      </c>
      <c r="E43" s="90" t="str">
        <f>IF(ISBLANK('Control Entry'!E$35),"",'Control Entry'!E$35)</f>
        <v>HORNE LAKE</v>
      </c>
      <c r="F43" s="90" t="str">
        <f>IF(ISBLANK('Control Entry'!G$35),"",'Control Entry'!G$35)</f>
        <v>Petrocanada</v>
      </c>
      <c r="G43" s="130" t="str">
        <f>IF(ISBLANK('Control Entry'!J$35),"",'Control Entry'!J$35)</f>
        <v/>
      </c>
      <c r="H43" s="131"/>
      <c r="I43" s="132"/>
      <c r="J43" s="94"/>
    </row>
    <row r="44" spans="2:10" ht="40" customHeight="1" thickBot="1" x14ac:dyDescent="0.3">
      <c r="B44" s="95"/>
      <c r="C44" s="101">
        <f>'Control Entry'!N$35</f>
        <v>45500.588194444441</v>
      </c>
      <c r="D44" s="101">
        <f>'Control Entry'!O$35</f>
        <v>45501.004861111112</v>
      </c>
      <c r="E44" s="96"/>
      <c r="F44" s="97" t="str">
        <f>IF(ISBLANK('Control Entry'!H$35),"",'Control Entry'!H$35)</f>
        <v>700 Horne Lake Rd</v>
      </c>
      <c r="G44" s="124" t="str">
        <f>IF(ISBLANK('Control Entry'!K$35),"",'Control Entry'!K$35)</f>
        <v/>
      </c>
      <c r="H44" s="125"/>
      <c r="I44" s="126"/>
      <c r="J44" s="98"/>
    </row>
    <row r="45" spans="2:10" ht="40" customHeight="1" x14ac:dyDescent="0.25">
      <c r="B45" s="88"/>
      <c r="C45" s="100">
        <f>'Control Entry'!N$36</f>
        <v>45500.627083333333</v>
      </c>
      <c r="D45" s="100">
        <f>'Control Entry'!O$36</f>
        <v>45501.083333333336</v>
      </c>
      <c r="E45" s="89"/>
      <c r="F45" s="90" t="str">
        <f>IF(ISBLANK('Control Entry'!F$36),"",'Control Entry'!F$36)</f>
        <v>BUSINESS</v>
      </c>
      <c r="G45" s="127" t="str">
        <f>IF(ISBLANK('Control Entry'!I$36),"",'Control Entry'!I$36)</f>
        <v/>
      </c>
      <c r="H45" s="128"/>
      <c r="I45" s="129"/>
      <c r="J45" s="91"/>
    </row>
    <row r="46" spans="2:10" ht="40" customHeight="1" x14ac:dyDescent="0.25">
      <c r="B46" s="92">
        <f>IF(ISBLANK('Control Entry'!D$36),"",'Control Entry'!D$36)</f>
        <v>301.10000000000002</v>
      </c>
      <c r="C46" s="93">
        <f>'Control Entry'!N$36</f>
        <v>45500.627083333333</v>
      </c>
      <c r="D46" s="93">
        <f>'Control Entry'!O$36</f>
        <v>45501.083333333336</v>
      </c>
      <c r="E46" s="90" t="str">
        <f>IF(ISBLANK('Control Entry'!E$36),"",'Control Entry'!E$36)</f>
        <v>PARKSVILLE</v>
      </c>
      <c r="F46" s="90" t="str">
        <f>IF(ISBLANK('Control Entry'!G$36),"",'Control Entry'!G$36)</f>
        <v>Chevron Gas</v>
      </c>
      <c r="G46" s="130" t="str">
        <f>IF(ISBLANK('Control Entry'!J$36),"",'Control Entry'!J$36)</f>
        <v/>
      </c>
      <c r="H46" s="131"/>
      <c r="I46" s="132"/>
      <c r="J46" s="94"/>
    </row>
    <row r="47" spans="2:10" ht="40" customHeight="1" thickBot="1" x14ac:dyDescent="0.3">
      <c r="B47" s="95"/>
      <c r="C47" s="101">
        <f>'Control Entry'!N$36</f>
        <v>45500.627083333333</v>
      </c>
      <c r="D47" s="101">
        <f>'Control Entry'!O$36</f>
        <v>45501.083333333336</v>
      </c>
      <c r="E47" s="96"/>
      <c r="F47" s="97" t="str">
        <f>IF(ISBLANK('Control Entry'!H$36),"",'Control Entry'!H$36)</f>
        <v>112 Island Hwy W</v>
      </c>
      <c r="G47" s="124" t="str">
        <f>IF(ISBLANK('Control Entry'!K$36),"",'Control Entry'!K$36)</f>
        <v/>
      </c>
      <c r="H47" s="125"/>
      <c r="I47" s="126"/>
      <c r="J47" s="98"/>
    </row>
    <row r="48" spans="2:10" ht="40" customHeight="1" x14ac:dyDescent="0.25">
      <c r="B48" s="88"/>
      <c r="C48" s="100" t="str">
        <f>'Control Entry'!N$37</f>
        <v/>
      </c>
      <c r="D48" s="100" t="str">
        <f>'Control Entry'!O$37</f>
        <v/>
      </c>
      <c r="E48" s="89"/>
      <c r="F48" s="90" t="str">
        <f>IF(ISBLANK('Control Entry'!F$37),"",'Control Entry'!F$37)</f>
        <v/>
      </c>
      <c r="G48" s="127" t="str">
        <f>IF(ISBLANK('Control Entry'!I$37),"",'Control Entry'!I$37)</f>
        <v/>
      </c>
      <c r="H48" s="128"/>
      <c r="I48" s="129"/>
      <c r="J48" s="91"/>
    </row>
    <row r="49" spans="2:11" ht="40" customHeight="1" x14ac:dyDescent="0.25">
      <c r="B49" s="92" t="str">
        <f>IF(ISBLANK('Control Entry'!D$37),"",'Control Entry'!D$37)</f>
        <v/>
      </c>
      <c r="C49" s="93" t="str">
        <f>'Control Entry'!N$37</f>
        <v/>
      </c>
      <c r="D49" s="93" t="str">
        <f>'Control Entry'!O$37</f>
        <v/>
      </c>
      <c r="E49" s="90" t="str">
        <f>IF(ISBLANK('Control Entry'!E$37),"",'Control Entry'!E$37)</f>
        <v/>
      </c>
      <c r="F49" s="90" t="str">
        <f>IF(ISBLANK('Control Entry'!G$37),"",'Control Entry'!G$37)</f>
        <v/>
      </c>
      <c r="G49" s="130" t="str">
        <f>IF(ISBLANK('Control Entry'!J$37),"",'Control Entry'!J$37)</f>
        <v/>
      </c>
      <c r="H49" s="131"/>
      <c r="I49" s="132"/>
      <c r="J49" s="94"/>
    </row>
    <row r="50" spans="2:11" ht="40" customHeight="1" thickBot="1" x14ac:dyDescent="0.3">
      <c r="B50" s="95"/>
      <c r="C50" s="101" t="str">
        <f>'Control Entry'!N$37</f>
        <v/>
      </c>
      <c r="D50" s="101" t="str">
        <f>'Control Entry'!O$37</f>
        <v/>
      </c>
      <c r="E50" s="96"/>
      <c r="F50" s="97" t="str">
        <f>IF(ISBLANK('Control Entry'!H$37),"",'Control Entry'!H$37)</f>
        <v/>
      </c>
      <c r="G50" s="124" t="str">
        <f>IF(ISBLANK('Control Entry'!K$37),"",'Control Entry'!K$37)</f>
        <v/>
      </c>
      <c r="H50" s="125"/>
      <c r="I50" s="126"/>
      <c r="J50" s="98"/>
    </row>
    <row r="52" spans="2:11" ht="24" customHeight="1" x14ac:dyDescent="0.15">
      <c r="B52" s="141" t="s">
        <v>30</v>
      </c>
      <c r="C52" s="141"/>
      <c r="D52" s="141"/>
      <c r="E52" s="141"/>
      <c r="F52" s="141"/>
      <c r="I52" s="58" t="s">
        <v>56</v>
      </c>
      <c r="J52" s="81" t="str">
        <f>IF(ISBLANK('Control Entry'!F10),"",'Control Entry'!F10)</f>
        <v>‭1 (604) 866-7804‬</v>
      </c>
      <c r="K52" s="54"/>
    </row>
    <row r="54" spans="2:11" x14ac:dyDescent="0.15">
      <c r="B54" s="76" t="s">
        <v>59</v>
      </c>
      <c r="C54" s="77">
        <f>'Control Entry'!B3</f>
        <v>45393</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39"/>
      <c r="G57" s="140"/>
      <c r="H57" s="140"/>
      <c r="I57" s="140"/>
      <c r="J57" s="140"/>
    </row>
  </sheetData>
  <mergeCells count="50">
    <mergeCell ref="C2:F2"/>
    <mergeCell ref="E3:H3"/>
    <mergeCell ref="E4:H4"/>
    <mergeCell ref="E5:H6"/>
    <mergeCell ref="C7:F8"/>
    <mergeCell ref="H7:H8"/>
    <mergeCell ref="G20:I20"/>
    <mergeCell ref="B10:C10"/>
    <mergeCell ref="E10:G10"/>
    <mergeCell ref="L10:M10"/>
    <mergeCell ref="N10:O10"/>
    <mergeCell ref="D12:E12"/>
    <mergeCell ref="D14:E14"/>
    <mergeCell ref="C17:F17"/>
    <mergeCell ref="I17:J17"/>
    <mergeCell ref="L17:M17"/>
    <mergeCell ref="N17:O17"/>
    <mergeCell ref="B19:J19"/>
    <mergeCell ref="G32:I32"/>
    <mergeCell ref="G21:I21"/>
    <mergeCell ref="G22:I22"/>
    <mergeCell ref="G23:I23"/>
    <mergeCell ref="G24:I24"/>
    <mergeCell ref="G25:I25"/>
    <mergeCell ref="G26:I26"/>
    <mergeCell ref="G27:I27"/>
    <mergeCell ref="G28:I28"/>
    <mergeCell ref="G29:I29"/>
    <mergeCell ref="G30:I30"/>
    <mergeCell ref="G31:I31"/>
    <mergeCell ref="G44:I44"/>
    <mergeCell ref="G33:I33"/>
    <mergeCell ref="G34:I34"/>
    <mergeCell ref="G35:I35"/>
    <mergeCell ref="G36:I36"/>
    <mergeCell ref="G37:I37"/>
    <mergeCell ref="G38:I38"/>
    <mergeCell ref="G39:I39"/>
    <mergeCell ref="G40:I40"/>
    <mergeCell ref="G41:I41"/>
    <mergeCell ref="G42:I42"/>
    <mergeCell ref="G43:I43"/>
    <mergeCell ref="B52:F52"/>
    <mergeCell ref="F57:J57"/>
    <mergeCell ref="G45:I45"/>
    <mergeCell ref="G46:I46"/>
    <mergeCell ref="G47:I47"/>
    <mergeCell ref="G48:I48"/>
    <mergeCell ref="G49:I49"/>
    <mergeCell ref="G50:I50"/>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Card #1</vt:lpstr>
      <vt:lpstr>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'Card #2'!Print_Area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2024-05-16T01:42:05Z</cp:lastPrinted>
  <dcterms:created xsi:type="dcterms:W3CDTF">1997-11-12T04:43:39Z</dcterms:created>
  <dcterms:modified xsi:type="dcterms:W3CDTF">2024-07-26T18:36:45Z</dcterms:modified>
</cp:coreProperties>
</file>