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autoCompressPictures="0"/>
  <mc:AlternateContent xmlns:mc="http://schemas.openxmlformats.org/markup-compatibility/2006">
    <mc:Choice Requires="x15">
      <x15ac:absPath xmlns:x15ac="http://schemas.microsoft.com/office/spreadsheetml/2010/11/ac" url="/Users/stephencarol/Documents/BCR/2022/5163 1000/"/>
    </mc:Choice>
  </mc:AlternateContent>
  <xr:revisionPtr revIDLastSave="0" documentId="13_ncr:1_{1A8F4C1B-F0B2-BC4F-9784-3DE458A1E357}" xr6:coauthVersionLast="36" xr6:coauthVersionMax="36" xr10:uidLastSave="{00000000-0000-0000-0000-000000000000}"/>
  <bookViews>
    <workbookView xWindow="20" yWindow="460" windowWidth="25600" windowHeight="15540" tabRatio="509" xr2:uid="{00000000-000D-0000-FFFF-FFFF00000000}"/>
  </bookViews>
  <sheets>
    <sheet name="Control Entry" sheetId="1" r:id="rId1"/>
    <sheet name="Control Card #1" sheetId="2" r:id="rId2"/>
    <sheet name="Control Card #2" sheetId="3" r:id="rId3"/>
    <sheet name="Control Card #3" sheetId="4" r:id="rId4"/>
    <sheet name="Control Card #4" sheetId="5" r:id="rId5"/>
  </sheets>
  <definedNames>
    <definedName name="Address_1" localSheetId="2">#REF!</definedName>
    <definedName name="Address_1" localSheetId="3">#REF!</definedName>
    <definedName name="Address_1" localSheetId="4">#REF!</definedName>
    <definedName name="Address_1">#REF!</definedName>
    <definedName name="Address_2" localSheetId="2">#REF!</definedName>
    <definedName name="Address_2" localSheetId="3">#REF!</definedName>
    <definedName name="Address_2" localSheetId="4">#REF!</definedName>
    <definedName name="Address_2">#REF!</definedName>
    <definedName name="brevet">'Control Entry'!$C$6</definedName>
    <definedName name="Brevet_Description">'Control Entry'!$B$8</definedName>
    <definedName name="Brevet_Length">'Control Entry'!$B$6</definedName>
    <definedName name="Brevet_Number">'Control Entry'!$B$9</definedName>
    <definedName name="City" localSheetId="2">#REF!</definedName>
    <definedName name="City" localSheetId="3">#REF!</definedName>
    <definedName name="City" localSheetId="4">#REF!</definedName>
    <definedName name="City">#REF!</definedName>
    <definedName name="Close">'Control Entry'!$M$15:$M$24</definedName>
    <definedName name="Close_time">'Control Entry'!$O$15:$O$24</definedName>
    <definedName name="Control_1">'Control Entry'!$D$15:$O$15</definedName>
    <definedName name="Control_10">'Control Entry'!$D$24:$O$24</definedName>
    <definedName name="Control_11" localSheetId="2">'Control Entry'!#REF!</definedName>
    <definedName name="Control_11" localSheetId="3">'Control Entry'!#REF!</definedName>
    <definedName name="Control_11" localSheetId="4">'Control Entry'!#REF!</definedName>
    <definedName name="Control_11">'Control Entry'!#REF!</definedName>
    <definedName name="Control_12" localSheetId="2">'Control Entry'!#REF!</definedName>
    <definedName name="Control_12" localSheetId="3">'Control Entry'!#REF!</definedName>
    <definedName name="Control_12" localSheetId="4">'Control Entry'!#REF!</definedName>
    <definedName name="Control_12">'Control Entry'!#REF!</definedName>
    <definedName name="Control_13" localSheetId="2">'Control Entry'!#REF!</definedName>
    <definedName name="Control_13" localSheetId="3">'Control Entry'!#REF!</definedName>
    <definedName name="Control_13" localSheetId="4">'Control Entry'!#REF!</definedName>
    <definedName name="Control_13">'Control Entry'!#REF!</definedName>
    <definedName name="Control_14" localSheetId="2">'Control Entry'!#REF!</definedName>
    <definedName name="Control_14" localSheetId="3">'Control Entry'!#REF!</definedName>
    <definedName name="Control_14" localSheetId="4">'Control Entry'!#REF!</definedName>
    <definedName name="Control_14">'Control Entry'!#REF!</definedName>
    <definedName name="Control_15" localSheetId="2">'Control Entry'!#REF!</definedName>
    <definedName name="Control_15" localSheetId="3">'Control Entry'!#REF!</definedName>
    <definedName name="Control_15" localSheetId="4">'Control Entry'!#REF!</definedName>
    <definedName name="Control_15">'Control Entry'!#REF!</definedName>
    <definedName name="Control_16" localSheetId="2">'Control Entry'!#REF!</definedName>
    <definedName name="Control_16" localSheetId="3">'Control Entry'!#REF!</definedName>
    <definedName name="Control_16" localSheetId="4">'Control Entry'!#REF!</definedName>
    <definedName name="Control_16">'Control Entry'!#REF!</definedName>
    <definedName name="Control_17" localSheetId="2">'Control Entry'!#REF!</definedName>
    <definedName name="Control_17" localSheetId="3">'Control Entry'!#REF!</definedName>
    <definedName name="Control_17" localSheetId="4">'Control Entry'!#REF!</definedName>
    <definedName name="Control_17">'Control Entry'!#REF!</definedName>
    <definedName name="Control_18" localSheetId="2">'Control Entry'!#REF!</definedName>
    <definedName name="Control_18" localSheetId="3">'Control Entry'!#REF!</definedName>
    <definedName name="Control_18" localSheetId="4">'Control Entry'!#REF!</definedName>
    <definedName name="Control_18">'Control Entry'!#REF!</definedName>
    <definedName name="Control_19" localSheetId="2">'Control Entry'!#REF!</definedName>
    <definedName name="Control_19" localSheetId="3">'Control Entry'!#REF!</definedName>
    <definedName name="Control_19" localSheetId="4">'Control Entry'!#REF!</definedName>
    <definedName name="Control_19">'Control Entry'!#REF!</definedName>
    <definedName name="Control_2">'Control Entry'!$D$16:$O$16</definedName>
    <definedName name="Control_20" localSheetId="2">'Control Entry'!#REF!</definedName>
    <definedName name="Control_20" localSheetId="3">'Control Entry'!#REF!</definedName>
    <definedName name="Control_20" localSheetId="4">'Control Entry'!#REF!</definedName>
    <definedName name="Control_20">'Control Entry'!#REF!</definedName>
    <definedName name="Control_3">'Control Entry'!$D$17:$O$17</definedName>
    <definedName name="Control_4">'Control Entry'!$D$18:$O$18</definedName>
    <definedName name="Control_5">'Control Entry'!$D$19:$O$19</definedName>
    <definedName name="Control_6">'Control Entry'!$D$20:$O$20</definedName>
    <definedName name="Control_7">'Control Entry'!$D$21:$O$21</definedName>
    <definedName name="Control_8">'Control Entry'!$D$22:$O$22</definedName>
    <definedName name="Control_9">'Control Entry'!$D$23:$O$23</definedName>
    <definedName name="Country" localSheetId="2">#REF!</definedName>
    <definedName name="Country" localSheetId="3">#REF!</definedName>
    <definedName name="Country" localSheetId="4">#REF!</definedName>
    <definedName name="Country">#REF!</definedName>
    <definedName name="Distance">'Control Entry'!$D$15:$D$24</definedName>
    <definedName name="email" localSheetId="2">#REF!</definedName>
    <definedName name="email" localSheetId="3">#REF!</definedName>
    <definedName name="email" localSheetId="4">#REF!</definedName>
    <definedName name="email">#REF!</definedName>
    <definedName name="Establishment_1">'Control Entry'!$F$15:$F$24</definedName>
    <definedName name="Establishment_2">'Control Entry'!$G$15:$G$24</definedName>
    <definedName name="Establishment_3">'Control Entry'!$H$15:$H$24</definedName>
    <definedName name="Fax" localSheetId="2">#REF!</definedName>
    <definedName name="Fax" localSheetId="3">#REF!</definedName>
    <definedName name="Fax" localSheetId="4">#REF!</definedName>
    <definedName name="Fax">#REF!</definedName>
    <definedName name="First_Name" localSheetId="2">#REF!</definedName>
    <definedName name="First_Name" localSheetId="3">#REF!</definedName>
    <definedName name="First_Name" localSheetId="4">#REF!</definedName>
    <definedName name="First_Name">#REF!</definedName>
    <definedName name="Home_telephone" localSheetId="2">#REF!</definedName>
    <definedName name="Home_telephone" localSheetId="3">#REF!</definedName>
    <definedName name="Home_telephone" localSheetId="4">#REF!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 localSheetId="3">#REF!</definedName>
    <definedName name="Initial" localSheetId="4">#REF!</definedName>
    <definedName name="Initial">#REF!</definedName>
    <definedName name="Locale">'Control Entry'!$E$15:$E$24</definedName>
    <definedName name="Max_time">'Control Entry'!$B$7</definedName>
    <definedName name="Open">'Control Entry'!$L$15:$L$24</definedName>
    <definedName name="Open_time">'Control Entry'!$N$15:$N$24</definedName>
    <definedName name="Postal_Code" localSheetId="2">#REF!</definedName>
    <definedName name="Postal_Code" localSheetId="3">#REF!</definedName>
    <definedName name="Postal_Code" localSheetId="4">#REF!</definedName>
    <definedName name="Postal_Code">#REF!</definedName>
    <definedName name="_xlnm.Print_Titles" localSheetId="1">'Control Card #1'!$1:$2</definedName>
    <definedName name="_xlnm.Print_Titles" localSheetId="2">'Control Card #2'!$1:$2</definedName>
    <definedName name="_xlnm.Print_Titles" localSheetId="3">'Control Card #3'!$1:$2</definedName>
    <definedName name="_xlnm.Print_Titles" localSheetId="4">'Control Card #4'!$1:$2</definedName>
    <definedName name="Province_State" localSheetId="2">#REF!</definedName>
    <definedName name="Province_State" localSheetId="3">#REF!</definedName>
    <definedName name="Province_State" localSheetId="4">#REF!</definedName>
    <definedName name="Province_State">#REF!</definedName>
    <definedName name="Start_date">'Control Entry'!$B$12</definedName>
    <definedName name="Start_time">'Control Entry'!$B$13</definedName>
    <definedName name="surname" localSheetId="2">#REF!</definedName>
    <definedName name="surname" localSheetId="3">#REF!</definedName>
    <definedName name="surname" localSheetId="4">#REF!</definedName>
    <definedName name="surname">#REF!</definedName>
    <definedName name="Work_telephone" localSheetId="2">#REF!</definedName>
    <definedName name="Work_telephone" localSheetId="3">#REF!</definedName>
    <definedName name="Work_telephone" localSheetId="4">#REF!</definedName>
    <definedName name="Work_telephone">#REF!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D28" i="1" l="1"/>
  <c r="D41" i="1" l="1"/>
  <c r="D31" i="1"/>
  <c r="D29" i="1"/>
  <c r="D43" i="1" l="1"/>
  <c r="D54" i="1"/>
  <c r="F32" i="5"/>
  <c r="F31" i="5"/>
  <c r="F30" i="5"/>
  <c r="E32" i="5"/>
  <c r="E31" i="5"/>
  <c r="E30" i="5"/>
  <c r="D31" i="5"/>
  <c r="A31" i="5"/>
  <c r="F29" i="5"/>
  <c r="F28" i="5"/>
  <c r="F27" i="5"/>
  <c r="E29" i="5"/>
  <c r="E28" i="5"/>
  <c r="E27" i="5"/>
  <c r="D28" i="5"/>
  <c r="A28" i="5"/>
  <c r="F26" i="5"/>
  <c r="F25" i="5"/>
  <c r="F24" i="5"/>
  <c r="E26" i="5"/>
  <c r="E25" i="5"/>
  <c r="E24" i="5"/>
  <c r="D25" i="5"/>
  <c r="A25" i="5"/>
  <c r="F23" i="5"/>
  <c r="F22" i="5"/>
  <c r="F21" i="5"/>
  <c r="E23" i="5"/>
  <c r="E22" i="5"/>
  <c r="E21" i="5"/>
  <c r="D22" i="5"/>
  <c r="A22" i="5"/>
  <c r="F20" i="5"/>
  <c r="F19" i="5"/>
  <c r="F18" i="5"/>
  <c r="E20" i="5"/>
  <c r="E19" i="5"/>
  <c r="E18" i="5"/>
  <c r="D19" i="5"/>
  <c r="D44" i="1" l="1"/>
  <c r="A19" i="5"/>
  <c r="F17" i="5"/>
  <c r="F16" i="5"/>
  <c r="F15" i="5"/>
  <c r="E17" i="5"/>
  <c r="E16" i="5"/>
  <c r="E15" i="5"/>
  <c r="D16" i="5"/>
  <c r="A16" i="5"/>
  <c r="F14" i="5"/>
  <c r="F13" i="5"/>
  <c r="F12" i="5"/>
  <c r="E14" i="5"/>
  <c r="E13" i="5"/>
  <c r="E12" i="5"/>
  <c r="D13" i="5"/>
  <c r="A13" i="5"/>
  <c r="F11" i="5"/>
  <c r="F10" i="5"/>
  <c r="F9" i="5"/>
  <c r="E11" i="5"/>
  <c r="E10" i="5"/>
  <c r="E9" i="5"/>
  <c r="D10" i="5"/>
  <c r="A10" i="5"/>
  <c r="F8" i="5"/>
  <c r="F7" i="5"/>
  <c r="F6" i="5"/>
  <c r="E8" i="5"/>
  <c r="E7" i="5"/>
  <c r="E6" i="5"/>
  <c r="D7" i="5"/>
  <c r="A7" i="5"/>
  <c r="F26" i="4"/>
  <c r="F25" i="4"/>
  <c r="F24" i="4"/>
  <c r="F19" i="4"/>
  <c r="F5" i="5"/>
  <c r="F4" i="5"/>
  <c r="F3" i="5"/>
  <c r="E5" i="4"/>
  <c r="E5" i="5"/>
  <c r="E4" i="5"/>
  <c r="E3" i="5"/>
  <c r="D4" i="5"/>
  <c r="A4" i="5"/>
  <c r="S3" i="5"/>
  <c r="S3" i="4"/>
  <c r="S3" i="3"/>
  <c r="S3" i="2"/>
  <c r="Q33" i="5"/>
  <c r="Q32" i="5"/>
  <c r="S20" i="5"/>
  <c r="L20" i="5"/>
  <c r="L6" i="5"/>
  <c r="R5" i="5"/>
  <c r="P5" i="5"/>
  <c r="L63" i="1"/>
  <c r="L62" i="1"/>
  <c r="L61" i="1"/>
  <c r="L60" i="1"/>
  <c r="L59" i="1"/>
  <c r="L58" i="1"/>
  <c r="L57" i="1"/>
  <c r="L56" i="1"/>
  <c r="L55" i="1"/>
  <c r="M54" i="1"/>
  <c r="L54" i="1"/>
  <c r="Q33" i="4"/>
  <c r="Q32" i="4"/>
  <c r="Q33" i="3"/>
  <c r="Q32" i="3"/>
  <c r="Q33" i="2"/>
  <c r="Q32" i="2"/>
  <c r="M46" i="1" l="1"/>
  <c r="M47" i="1"/>
  <c r="M48" i="1"/>
  <c r="M49" i="1"/>
  <c r="M50" i="1"/>
  <c r="M41" i="1"/>
  <c r="M33" i="1"/>
  <c r="M34" i="1"/>
  <c r="M35" i="1"/>
  <c r="M36" i="1"/>
  <c r="M37" i="1"/>
  <c r="M21" i="1"/>
  <c r="M22" i="1"/>
  <c r="M23" i="1"/>
  <c r="M24" i="1"/>
  <c r="M20" i="1"/>
  <c r="S20" i="4" l="1"/>
  <c r="L20" i="4"/>
  <c r="S20" i="3"/>
  <c r="L20" i="3"/>
  <c r="S20" i="2"/>
  <c r="L20" i="2"/>
  <c r="F32" i="4" l="1"/>
  <c r="F31" i="4"/>
  <c r="F30" i="4"/>
  <c r="E32" i="4"/>
  <c r="E31" i="4"/>
  <c r="E30" i="4"/>
  <c r="D31" i="4"/>
  <c r="A31" i="4"/>
  <c r="F29" i="4"/>
  <c r="F28" i="4"/>
  <c r="F27" i="4"/>
  <c r="E29" i="4"/>
  <c r="E28" i="4"/>
  <c r="E27" i="4"/>
  <c r="D28" i="4"/>
  <c r="A28" i="4"/>
  <c r="E26" i="4"/>
  <c r="E25" i="4"/>
  <c r="E24" i="4"/>
  <c r="D25" i="4"/>
  <c r="A25" i="4"/>
  <c r="F23" i="4"/>
  <c r="F22" i="4"/>
  <c r="F21" i="4"/>
  <c r="E23" i="4"/>
  <c r="E22" i="4"/>
  <c r="E21" i="4"/>
  <c r="D22" i="4"/>
  <c r="A22" i="4"/>
  <c r="F20" i="4"/>
  <c r="F18" i="4"/>
  <c r="E20" i="4"/>
  <c r="E19" i="4"/>
  <c r="E18" i="4"/>
  <c r="D19" i="4"/>
  <c r="A19" i="4"/>
  <c r="F17" i="4"/>
  <c r="F16" i="4"/>
  <c r="F15" i="4"/>
  <c r="E17" i="4"/>
  <c r="E16" i="4"/>
  <c r="E15" i="4"/>
  <c r="D16" i="4"/>
  <c r="A16" i="4"/>
  <c r="F13" i="4"/>
  <c r="F14" i="4"/>
  <c r="F12" i="4"/>
  <c r="E14" i="4"/>
  <c r="E13" i="4"/>
  <c r="E12" i="4"/>
  <c r="D13" i="4"/>
  <c r="A13" i="4"/>
  <c r="A7" i="2" l="1"/>
  <c r="F11" i="4"/>
  <c r="F10" i="4"/>
  <c r="F9" i="4"/>
  <c r="E11" i="4"/>
  <c r="E10" i="4"/>
  <c r="E9" i="4"/>
  <c r="D10" i="4"/>
  <c r="A10" i="4"/>
  <c r="F8" i="4"/>
  <c r="F7" i="4"/>
  <c r="F6" i="4"/>
  <c r="E8" i="4"/>
  <c r="E7" i="4"/>
  <c r="E6" i="4"/>
  <c r="D7" i="4"/>
  <c r="A7" i="4"/>
  <c r="F5" i="4"/>
  <c r="F4" i="4"/>
  <c r="F3" i="4"/>
  <c r="E4" i="4"/>
  <c r="E3" i="4"/>
  <c r="D4" i="4"/>
  <c r="A4" i="4"/>
  <c r="L50" i="1" l="1"/>
  <c r="L49" i="1"/>
  <c r="L48" i="1"/>
  <c r="L47" i="1"/>
  <c r="L46" i="1"/>
  <c r="L45" i="1"/>
  <c r="L44" i="1"/>
  <c r="L43" i="1"/>
  <c r="L42" i="1"/>
  <c r="L41" i="1"/>
  <c r="L6" i="4"/>
  <c r="R5" i="4"/>
  <c r="P5" i="4"/>
  <c r="E8" i="3" l="1"/>
  <c r="E7" i="3"/>
  <c r="E5" i="3"/>
  <c r="F5" i="2" l="1"/>
  <c r="F32" i="2"/>
  <c r="F31" i="2"/>
  <c r="F30" i="2"/>
  <c r="F29" i="2"/>
  <c r="F28" i="2"/>
  <c r="F27" i="2"/>
  <c r="F26" i="2"/>
  <c r="F25" i="2"/>
  <c r="F24" i="2"/>
  <c r="F23" i="2"/>
  <c r="F22" i="2"/>
  <c r="F21" i="2"/>
  <c r="F20" i="2"/>
  <c r="F19" i="2"/>
  <c r="F18" i="2"/>
  <c r="F17" i="2"/>
  <c r="F16" i="2"/>
  <c r="F15" i="2"/>
  <c r="F14" i="2"/>
  <c r="F13" i="2"/>
  <c r="F12" i="2"/>
  <c r="F11" i="2"/>
  <c r="F10" i="2"/>
  <c r="F9" i="2"/>
  <c r="F8" i="2"/>
  <c r="F7" i="2"/>
  <c r="F6" i="2"/>
  <c r="F4" i="2"/>
  <c r="F3" i="2"/>
  <c r="L15" i="1"/>
  <c r="N15" i="1" s="1"/>
  <c r="L37" i="1"/>
  <c r="L36" i="1"/>
  <c r="L35" i="1"/>
  <c r="L34" i="1"/>
  <c r="L33" i="1"/>
  <c r="L32" i="1"/>
  <c r="L31" i="1"/>
  <c r="L30" i="1"/>
  <c r="L29" i="1"/>
  <c r="L28" i="1"/>
  <c r="F32" i="3"/>
  <c r="F31" i="3"/>
  <c r="F30" i="3"/>
  <c r="F29" i="3"/>
  <c r="F28" i="3"/>
  <c r="F27" i="3"/>
  <c r="F26" i="3"/>
  <c r="F25" i="3"/>
  <c r="F24" i="3"/>
  <c r="F23" i="3"/>
  <c r="F22" i="3"/>
  <c r="F21" i="3"/>
  <c r="F20" i="3"/>
  <c r="F19" i="3"/>
  <c r="F18" i="3"/>
  <c r="F17" i="3"/>
  <c r="F16" i="3"/>
  <c r="F15" i="3"/>
  <c r="F14" i="3"/>
  <c r="F13" i="3"/>
  <c r="F12" i="3"/>
  <c r="F11" i="3"/>
  <c r="F10" i="3"/>
  <c r="F9" i="3"/>
  <c r="F7" i="3"/>
  <c r="F8" i="3"/>
  <c r="F5" i="3"/>
  <c r="F6" i="3"/>
  <c r="F4" i="3"/>
  <c r="F3" i="3"/>
  <c r="E32" i="3"/>
  <c r="E31" i="3"/>
  <c r="E30" i="3"/>
  <c r="E29" i="3"/>
  <c r="E28" i="3"/>
  <c r="E27" i="3"/>
  <c r="E26" i="3"/>
  <c r="E25" i="3"/>
  <c r="E24" i="3"/>
  <c r="E23" i="3"/>
  <c r="E22" i="3"/>
  <c r="E21" i="3"/>
  <c r="E20" i="3"/>
  <c r="E19" i="3"/>
  <c r="E18" i="3"/>
  <c r="E17" i="3"/>
  <c r="E16" i="3"/>
  <c r="E15" i="3"/>
  <c r="E14" i="3"/>
  <c r="E13" i="3"/>
  <c r="E12" i="3"/>
  <c r="E11" i="3"/>
  <c r="E10" i="3"/>
  <c r="E9" i="3"/>
  <c r="E6" i="3"/>
  <c r="C6" i="1"/>
  <c r="E4" i="3"/>
  <c r="E3" i="3"/>
  <c r="D31" i="3"/>
  <c r="D28" i="3"/>
  <c r="D25" i="3"/>
  <c r="D22" i="3"/>
  <c r="D19" i="3"/>
  <c r="D16" i="3"/>
  <c r="D13" i="3"/>
  <c r="D10" i="3"/>
  <c r="D7" i="3"/>
  <c r="D4" i="3"/>
  <c r="A31" i="3"/>
  <c r="A28" i="3"/>
  <c r="A25" i="3"/>
  <c r="A22" i="3"/>
  <c r="A19" i="3"/>
  <c r="A16" i="3"/>
  <c r="A13" i="3"/>
  <c r="A10" i="3"/>
  <c r="A7" i="3"/>
  <c r="A4" i="3"/>
  <c r="L24" i="1"/>
  <c r="L23" i="1"/>
  <c r="L22" i="1"/>
  <c r="L21" i="1"/>
  <c r="L20" i="1"/>
  <c r="L19" i="1"/>
  <c r="L18" i="1"/>
  <c r="L17" i="1"/>
  <c r="L16" i="1"/>
  <c r="L6" i="3"/>
  <c r="R5" i="3"/>
  <c r="P5" i="3"/>
  <c r="L6" i="2"/>
  <c r="R5" i="2"/>
  <c r="P5"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D25" i="2"/>
  <c r="D28" i="2"/>
  <c r="D31" i="2"/>
  <c r="A31" i="2"/>
  <c r="A4" i="2"/>
  <c r="D19" i="2"/>
  <c r="D16" i="2"/>
  <c r="D13" i="2"/>
  <c r="D10" i="2"/>
  <c r="D7" i="2"/>
  <c r="D4" i="2"/>
  <c r="D22" i="2"/>
  <c r="A28" i="2"/>
  <c r="A25" i="2"/>
  <c r="A22" i="2"/>
  <c r="A19" i="2"/>
  <c r="A10" i="2"/>
  <c r="A16" i="2"/>
  <c r="A13" i="2"/>
  <c r="O50" i="1" l="1"/>
  <c r="N50" i="1"/>
  <c r="N61" i="1"/>
  <c r="N60" i="1"/>
  <c r="N59" i="1"/>
  <c r="N63" i="1"/>
  <c r="N58" i="1"/>
  <c r="N62" i="1"/>
  <c r="M63" i="1"/>
  <c r="O63" i="1" s="1"/>
  <c r="M61" i="1"/>
  <c r="O61" i="1" s="1"/>
  <c r="M59" i="1"/>
  <c r="O59" i="1" s="1"/>
  <c r="M62" i="1"/>
  <c r="O62" i="1" s="1"/>
  <c r="M60" i="1"/>
  <c r="O60" i="1" s="1"/>
  <c r="M58" i="1"/>
  <c r="O58" i="1" s="1"/>
  <c r="M28" i="1"/>
  <c r="B7" i="1"/>
  <c r="M4" i="5"/>
  <c r="M57" i="1"/>
  <c r="O57" i="1" s="1"/>
  <c r="M55" i="1"/>
  <c r="O55" i="1" s="1"/>
  <c r="M56" i="1"/>
  <c r="O56" i="1"/>
  <c r="N56" i="1"/>
  <c r="N57" i="1"/>
  <c r="N55" i="1"/>
  <c r="O54" i="1"/>
  <c r="N54" i="1"/>
  <c r="M4" i="3"/>
  <c r="M42" i="1"/>
  <c r="O42" i="1" s="1"/>
  <c r="M31" i="1"/>
  <c r="M16" i="1"/>
  <c r="M43" i="1"/>
  <c r="O43" i="1" s="1"/>
  <c r="M32" i="1"/>
  <c r="O32" i="1" s="1"/>
  <c r="M19" i="1"/>
  <c r="M44" i="1"/>
  <c r="O44" i="1" s="1"/>
  <c r="M29" i="1"/>
  <c r="M18" i="1"/>
  <c r="O18" i="1" s="1"/>
  <c r="M45" i="1"/>
  <c r="O45" i="1" s="1"/>
  <c r="M30" i="1"/>
  <c r="M17" i="1"/>
  <c r="O17" i="1" s="1"/>
  <c r="O46" i="1"/>
  <c r="O47" i="1"/>
  <c r="O48" i="1"/>
  <c r="O49" i="1"/>
  <c r="N48" i="1"/>
  <c r="N42" i="1"/>
  <c r="N47" i="1"/>
  <c r="N43" i="1"/>
  <c r="N45" i="1"/>
  <c r="N49" i="1"/>
  <c r="N46" i="1"/>
  <c r="N44" i="1"/>
  <c r="N41" i="1"/>
  <c r="O41" i="1"/>
  <c r="M4" i="4"/>
  <c r="M15" i="1"/>
  <c r="O15" i="1" s="1"/>
  <c r="C3" i="2" s="1"/>
  <c r="N31" i="1"/>
  <c r="B4" i="2"/>
  <c r="O19" i="1"/>
  <c r="C17" i="2" s="1"/>
  <c r="N18" i="1"/>
  <c r="B14" i="2" s="1"/>
  <c r="O23" i="1"/>
  <c r="C27" i="2" s="1"/>
  <c r="N28" i="1"/>
  <c r="N34" i="1"/>
  <c r="N22" i="1"/>
  <c r="B25" i="2" s="1"/>
  <c r="O34" i="1"/>
  <c r="B3" i="2"/>
  <c r="O20" i="1"/>
  <c r="O22" i="1"/>
  <c r="C26" i="2" s="1"/>
  <c r="O33" i="1"/>
  <c r="B5" i="2"/>
  <c r="N17" i="1"/>
  <c r="B11" i="2" s="1"/>
  <c r="N21" i="1"/>
  <c r="B22" i="2" s="1"/>
  <c r="N24" i="1"/>
  <c r="B31" i="2" s="1"/>
  <c r="N35" i="1"/>
  <c r="O37" i="1"/>
  <c r="N37" i="1"/>
  <c r="O24" i="1"/>
  <c r="C31" i="2" s="1"/>
  <c r="N16" i="1"/>
  <c r="B6" i="2" s="1"/>
  <c r="N20" i="1"/>
  <c r="B19" i="2" s="1"/>
  <c r="O21" i="1"/>
  <c r="C23" i="2" s="1"/>
  <c r="N29" i="1"/>
  <c r="N32" i="1"/>
  <c r="O16" i="1"/>
  <c r="N19" i="1"/>
  <c r="B17" i="2" s="1"/>
  <c r="N23" i="1"/>
  <c r="B27" i="2" s="1"/>
  <c r="N30" i="1"/>
  <c r="N33" i="1"/>
  <c r="N36" i="1"/>
  <c r="O30" i="1"/>
  <c r="O29" i="1"/>
  <c r="M4" i="2"/>
  <c r="O36" i="1"/>
  <c r="O28" i="1"/>
  <c r="O35" i="1"/>
  <c r="O31" i="1"/>
  <c r="C27" i="5" l="1"/>
  <c r="C29" i="5"/>
  <c r="C28" i="5"/>
  <c r="B29" i="5"/>
  <c r="B28" i="5"/>
  <c r="B27" i="5"/>
  <c r="B22" i="5"/>
  <c r="B21" i="5"/>
  <c r="B23" i="5"/>
  <c r="C20" i="5"/>
  <c r="C19" i="5"/>
  <c r="C18" i="5"/>
  <c r="B25" i="5"/>
  <c r="B24" i="5"/>
  <c r="B26" i="5"/>
  <c r="C26" i="5"/>
  <c r="C25" i="5"/>
  <c r="C24" i="5"/>
  <c r="C21" i="5"/>
  <c r="C23" i="5"/>
  <c r="C22" i="5"/>
  <c r="C31" i="5"/>
  <c r="C30" i="5"/>
  <c r="C32" i="5"/>
  <c r="B19" i="5"/>
  <c r="B18" i="5"/>
  <c r="B20" i="5"/>
  <c r="B32" i="5"/>
  <c r="B31" i="5"/>
  <c r="B30" i="5"/>
  <c r="B8" i="5"/>
  <c r="B7" i="5"/>
  <c r="B6" i="5"/>
  <c r="B14" i="5"/>
  <c r="B13" i="5"/>
  <c r="B12" i="5"/>
  <c r="C7" i="5"/>
  <c r="C8" i="5"/>
  <c r="C6" i="5"/>
  <c r="B15" i="5"/>
  <c r="B17" i="5"/>
  <c r="B16" i="5"/>
  <c r="B9" i="5"/>
  <c r="B10" i="5"/>
  <c r="B11" i="5"/>
  <c r="C13" i="5"/>
  <c r="C12" i="5"/>
  <c r="C14" i="5"/>
  <c r="C16" i="5"/>
  <c r="C15" i="5"/>
  <c r="C17" i="5"/>
  <c r="C10" i="5"/>
  <c r="C9" i="5"/>
  <c r="C11" i="5"/>
  <c r="B4" i="5"/>
  <c r="B3" i="5"/>
  <c r="B5" i="5"/>
  <c r="B31" i="4"/>
  <c r="B30" i="4"/>
  <c r="B32" i="4"/>
  <c r="C5" i="5"/>
  <c r="C3" i="5"/>
  <c r="C4" i="5"/>
  <c r="C31" i="4"/>
  <c r="C30" i="4"/>
  <c r="C32" i="4"/>
  <c r="B13" i="4"/>
  <c r="B12" i="4"/>
  <c r="B14" i="4"/>
  <c r="B29" i="4"/>
  <c r="B28" i="4"/>
  <c r="B27" i="4"/>
  <c r="C15" i="4"/>
  <c r="C17" i="4"/>
  <c r="C16" i="4"/>
  <c r="B23" i="4"/>
  <c r="B22" i="4"/>
  <c r="B21" i="4"/>
  <c r="B17" i="4"/>
  <c r="B16" i="4"/>
  <c r="B15" i="4"/>
  <c r="B25" i="4"/>
  <c r="B24" i="4"/>
  <c r="B26" i="4"/>
  <c r="C29" i="4"/>
  <c r="C28" i="4"/>
  <c r="C27" i="4"/>
  <c r="C21" i="4"/>
  <c r="C23" i="4"/>
  <c r="C22" i="4"/>
  <c r="C4" i="2"/>
  <c r="C14" i="4"/>
  <c r="C13" i="4"/>
  <c r="C12" i="4"/>
  <c r="B19" i="4"/>
  <c r="B18" i="4"/>
  <c r="B20" i="4"/>
  <c r="C20" i="4"/>
  <c r="C19" i="4"/>
  <c r="C18" i="4"/>
  <c r="C26" i="4"/>
  <c r="C25" i="4"/>
  <c r="C24" i="4"/>
  <c r="C8" i="4"/>
  <c r="C7" i="4"/>
  <c r="C6" i="4"/>
  <c r="C10" i="4"/>
  <c r="C9" i="4"/>
  <c r="C11" i="4"/>
  <c r="B8" i="4"/>
  <c r="B7" i="4"/>
  <c r="B6" i="4"/>
  <c r="B9" i="4"/>
  <c r="B11" i="4"/>
  <c r="B10" i="4"/>
  <c r="B5" i="4"/>
  <c r="B4" i="4"/>
  <c r="B3" i="4"/>
  <c r="C3" i="4"/>
  <c r="C5" i="4"/>
  <c r="C4" i="4"/>
  <c r="C19" i="3"/>
  <c r="B21" i="3"/>
  <c r="B29" i="3"/>
  <c r="B6" i="3"/>
  <c r="B26" i="3"/>
  <c r="B5" i="3"/>
  <c r="B11" i="3"/>
  <c r="C23" i="3"/>
  <c r="B32" i="3"/>
  <c r="B16" i="3"/>
  <c r="C31" i="3"/>
  <c r="C5" i="2"/>
  <c r="B19" i="3"/>
  <c r="B14" i="3"/>
  <c r="B25" i="3"/>
  <c r="C16" i="2"/>
  <c r="B13" i="3"/>
  <c r="B12" i="3"/>
  <c r="B21" i="2"/>
  <c r="B26" i="2"/>
  <c r="C15" i="2"/>
  <c r="C30" i="3"/>
  <c r="B3" i="3"/>
  <c r="C25" i="2"/>
  <c r="B8" i="2"/>
  <c r="B12" i="2"/>
  <c r="B13" i="2"/>
  <c r="B22" i="3"/>
  <c r="B30" i="3"/>
  <c r="B27" i="3"/>
  <c r="B8" i="3"/>
  <c r="C29" i="2"/>
  <c r="B18" i="3"/>
  <c r="B29" i="2"/>
  <c r="B15" i="2"/>
  <c r="B31" i="3"/>
  <c r="B18" i="2"/>
  <c r="B10" i="3"/>
  <c r="B32" i="2"/>
  <c r="C28" i="2"/>
  <c r="C24" i="2"/>
  <c r="C30" i="2"/>
  <c r="B20" i="2"/>
  <c r="C22" i="3"/>
  <c r="B24" i="3"/>
  <c r="B28" i="3"/>
  <c r="B7" i="3"/>
  <c r="B4" i="3"/>
  <c r="B16" i="2"/>
  <c r="B7" i="2"/>
  <c r="C19" i="2"/>
  <c r="C18" i="2"/>
  <c r="C20" i="2"/>
  <c r="C13" i="2"/>
  <c r="C12" i="2"/>
  <c r="C14" i="2"/>
  <c r="B23" i="3"/>
  <c r="B9" i="2"/>
  <c r="B30" i="2"/>
  <c r="C32" i="2"/>
  <c r="B10" i="2"/>
  <c r="B9" i="3"/>
  <c r="B24" i="2"/>
  <c r="C21" i="3"/>
  <c r="C18" i="3"/>
  <c r="B20" i="3"/>
  <c r="C9" i="2"/>
  <c r="C10" i="2"/>
  <c r="B28" i="2"/>
  <c r="B23" i="2"/>
  <c r="B17" i="3"/>
  <c r="C8" i="2"/>
  <c r="C7" i="2"/>
  <c r="C22" i="2"/>
  <c r="C21" i="2"/>
  <c r="C11" i="2"/>
  <c r="C20" i="3"/>
  <c r="B15" i="3"/>
  <c r="C32" i="3"/>
  <c r="C6" i="2"/>
  <c r="C6" i="3"/>
  <c r="C7" i="3"/>
  <c r="C8" i="3"/>
  <c r="C11" i="3"/>
  <c r="C9" i="3"/>
  <c r="C10" i="3"/>
  <c r="C13" i="3"/>
  <c r="C14" i="3"/>
  <c r="C12" i="3"/>
  <c r="C4" i="3"/>
  <c r="C5" i="3"/>
  <c r="C3" i="3"/>
  <c r="C25" i="3"/>
  <c r="C26" i="3"/>
  <c r="C24" i="3"/>
  <c r="C15" i="3"/>
  <c r="C16" i="3"/>
  <c r="C17" i="3"/>
  <c r="C27" i="3"/>
  <c r="C28" i="3"/>
  <c r="C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4" authorId="0" shapeId="0" xr:uid="{4563209B-AACD-704D-A715-734D9228E28F}">
      <text>
        <r>
          <rPr>
            <b/>
            <sz val="10"/>
            <color rgb="FF000000"/>
            <rFont val="Tahoma"/>
            <family val="2"/>
          </rPr>
          <t>Stephen Hinde:</t>
        </r>
        <r>
          <rPr>
            <sz val="10"/>
            <color rgb="FF000000"/>
            <rFont val="Tahoma"/>
            <family val="2"/>
          </rPr>
          <t xml:space="preserve">Revision date of the brevet details on this sheet
</t>
        </r>
      </text>
    </comment>
    <comment ref="B6"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7" authorId="1" shapeId="0" xr:uid="{00000000-0006-0000-0000-000002000000}">
      <text>
        <r>
          <rPr>
            <sz val="8"/>
            <color rgb="FF000000"/>
            <rFont val="Tahoma"/>
            <family val="2"/>
          </rPr>
          <t>Autocalculated based on ACP specified times</t>
        </r>
      </text>
    </comment>
    <comment ref="B9"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10"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12" authorId="0" shapeId="0" xr:uid="{23558CA1-4512-6144-8D64-23E7C0C33489}">
      <text>
        <r>
          <rPr>
            <b/>
            <sz val="10"/>
            <color rgb="FF000000"/>
            <rFont val="Tahoma"/>
            <family val="2"/>
          </rPr>
          <t>Stephen Hinde:</t>
        </r>
        <r>
          <rPr>
            <sz val="10"/>
            <color rgb="FF000000"/>
            <rFont val="Tahoma"/>
            <family val="2"/>
          </rPr>
          <t xml:space="preserve">
</t>
        </r>
        <r>
          <rPr>
            <sz val="10"/>
            <color rgb="FF000000"/>
            <rFont val="Tahoma"/>
            <family val="2"/>
          </rPr>
          <t xml:space="preserve">Ride date
</t>
        </r>
      </text>
    </comment>
    <comment ref="B13" authorId="0" shapeId="0" xr:uid="{B42762EC-1925-AE46-9F2A-7C3A271E16AF}">
      <text>
        <r>
          <rPr>
            <b/>
            <sz val="10"/>
            <color rgb="FF000000"/>
            <rFont val="Tahoma"/>
            <family val="2"/>
          </rPr>
          <t>Stephen Hinde:</t>
        </r>
        <r>
          <rPr>
            <sz val="10"/>
            <color rgb="FF000000"/>
            <rFont val="Tahoma"/>
            <family val="2"/>
          </rPr>
          <t xml:space="preserve">
</t>
        </r>
        <r>
          <rPr>
            <sz val="10"/>
            <color rgb="FF000000"/>
            <rFont val="Tahoma"/>
            <family val="2"/>
          </rPr>
          <t xml:space="preserve">24hr clock format
</t>
        </r>
        <r>
          <rPr>
            <sz val="10"/>
            <color rgb="FF000000"/>
            <rFont val="Tahoma"/>
            <family val="2"/>
          </rPr>
          <t>hh:mm</t>
        </r>
      </text>
    </comment>
  </commentList>
</comments>
</file>

<file path=xl/sharedStrings.xml><?xml version="1.0" encoding="utf-8"?>
<sst xmlns="http://schemas.openxmlformats.org/spreadsheetml/2006/main" count="531" uniqueCount="175">
  <si>
    <t>Start time</t>
  </si>
  <si>
    <t>Finish time</t>
  </si>
  <si>
    <t>Elapsed time</t>
  </si>
  <si>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</si>
  <si>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</si>
  <si>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</si>
  <si>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</si>
  <si>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</si>
  <si>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</si>
  <si>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</si>
  <si>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</si>
  <si>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</si>
  <si>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</si>
  <si>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</si>
  <si>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</si>
  <si>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</si>
  <si>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</si>
  <si>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</si>
  <si>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</si>
  <si>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</si>
  <si>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</si>
  <si>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</si>
  <si>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</si>
  <si>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</si>
  <si>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</si>
  <si>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</si>
  <si>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</si>
  <si>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</si>
  <si>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</si>
  <si>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t>
  </si>
  <si>
    <t>DIST (km)</t>
  </si>
  <si>
    <t>Establishment</t>
  </si>
  <si>
    <t>Time of Passage</t>
  </si>
  <si>
    <t>Control Card</t>
  </si>
  <si>
    <t>Name</t>
  </si>
  <si>
    <t>Address</t>
  </si>
  <si>
    <t>City</t>
  </si>
  <si>
    <t>Province/State</t>
  </si>
  <si>
    <t>Country</t>
  </si>
  <si>
    <t>Postal Code</t>
  </si>
  <si>
    <t>Telephone</t>
  </si>
  <si>
    <t>email</t>
  </si>
  <si>
    <t>Randonneur Committee Authorization</t>
  </si>
  <si>
    <t>Report results or abandonment through registration email link</t>
  </si>
  <si>
    <t>Start Date</t>
  </si>
  <si>
    <t>Finish Date</t>
  </si>
  <si>
    <t>Member #</t>
  </si>
  <si>
    <t xml:space="preserve">Brevet No. </t>
  </si>
  <si>
    <t>Schedule date:</t>
  </si>
  <si>
    <t>Single</t>
  </si>
  <si>
    <t>Tandem</t>
  </si>
  <si>
    <t>Fixed</t>
  </si>
  <si>
    <t>Recumbent</t>
  </si>
  <si>
    <t>Velomobile</t>
  </si>
  <si>
    <t>(only add if change needed to database)</t>
  </si>
  <si>
    <t>Founding member of LES RANDONNEURS MONDIAUX (1983)</t>
  </si>
  <si>
    <t>Bicycle Type
Circle one</t>
  </si>
  <si>
    <t>-------&gt;</t>
  </si>
  <si>
    <t>Ride Day Emergency Contact</t>
  </si>
  <si>
    <t>Signature/Answer</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</si>
  <si>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</si>
  <si>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</si>
  <si>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</si>
  <si>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</si>
  <si>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</si>
  <si>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</si>
  <si>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</si>
  <si>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</si>
  <si>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</si>
  <si>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Fill in the control distance.  The opening and closing times will be automatically calculated based on the start time and the brevet distance.  If you need more than 10 controls, use card #2, otherwise leave that section blank.</t>
  </si>
  <si>
    <t>When using information controls, you can put your question in the Signature/Answer section eg Sig/Ans.1 Sign on main door  Sig/Ans. 2  This week's special is?  Sig/Ans. 3 ________________</t>
  </si>
  <si>
    <t>Control Card #1 Information Control Question (optional)</t>
  </si>
  <si>
    <t>Control Card #2 Information Control Question (optional)</t>
  </si>
  <si>
    <t xml:space="preserve">Control Card </t>
  </si>
  <si>
    <r>
      <t xml:space="preserve">At each control, please have signed or </t>
    </r>
    <r>
      <rPr>
        <b/>
        <i/>
        <sz val="16"/>
        <rFont val="Arial"/>
        <family val="2"/>
      </rPr>
      <t>answer question</t>
    </r>
    <r>
      <rPr>
        <i/>
        <sz val="16"/>
        <rFont val="Arial"/>
        <family val="2"/>
      </rPr>
      <t xml:space="preserve"> and</t>
    </r>
    <r>
      <rPr>
        <b/>
        <i/>
        <sz val="16"/>
        <rFont val="Arial"/>
        <family val="2"/>
      </rPr>
      <t xml:space="preserve"> note time of day</t>
    </r>
  </si>
  <si>
    <t>Enter the start time.  This will be the official ACP listed start time found on the event page, unless a ride window has been enabled.</t>
  </si>
  <si>
    <t>Enter the start date.  This will be the same as the schedule date, exceot for pre-rides or unless a ride window has been enabled.</t>
  </si>
  <si>
    <t>Control Card #2</t>
  </si>
  <si>
    <t>Control Card #3 Information Control Question (optional)</t>
  </si>
  <si>
    <t>Control Card #3</t>
  </si>
  <si>
    <r>
      <t xml:space="preserve">At each control, please </t>
    </r>
    <r>
      <rPr>
        <b/>
        <i/>
        <sz val="16"/>
        <rFont val="Arial"/>
        <family val="2"/>
      </rPr>
      <t>have signed or answer question</t>
    </r>
    <r>
      <rPr>
        <i/>
        <sz val="16"/>
        <rFont val="Arial"/>
        <family val="2"/>
      </rPr>
      <t xml:space="preserve"> and</t>
    </r>
    <r>
      <rPr>
        <b/>
        <i/>
        <sz val="16"/>
        <rFont val="Arial"/>
        <family val="2"/>
      </rPr>
      <t xml:space="preserve"> note time of day</t>
    </r>
  </si>
  <si>
    <t>Control Card #1</t>
  </si>
  <si>
    <t xml:space="preserve">Template Revised:  </t>
  </si>
  <si>
    <t>DO NOT DELETE OR MOVE ROWS OR COLUMNS (delete contents of cells only)</t>
  </si>
  <si>
    <t>Fill in the Locale (city) for each control.  Establishment 1, 2, and 3 can be used to describe the control itself eg Locale HOPE  Est.1 Dairy Queen Est.2 817 Water Ave Est. 3 (left blank)</t>
  </si>
  <si>
    <t>Scroll right to see further instructions</t>
  </si>
  <si>
    <t xml:space="preserve">Card Revised:  </t>
  </si>
  <si>
    <t>Control Card #4</t>
  </si>
  <si>
    <t>Control Card #4 Information Control Question (optional)</t>
  </si>
  <si>
    <t>You can create 4 control cards  (upto 40 controls) for one event, or 4 control cards (up to 10 controls) with different start loctions for a single event, or 2 sets of 2 control cards.  Control Card #1 will only show '#1' if a distance, not zero, is entered into the first distance box for Control Card #2.  Similarly for Control Card #3 and Control Card #4.  If CC#3 starts at distance 0 and CC#4 has a distance greater than 0, then CC#3 will display as CC#1 and CC#4 will display as CC#2.  This allows for 2 cards for start location 1 and two cards for start location 2.</t>
  </si>
  <si>
    <t>SIGN HERE AND RECORD RESULTS ON CARD #1</t>
  </si>
  <si>
    <t>Waddling Dog Inn</t>
  </si>
  <si>
    <t>2476 Mt. Newton Cross Rd.</t>
  </si>
  <si>
    <t>Summit Rest Area</t>
  </si>
  <si>
    <t>Kinsol Trestle</t>
  </si>
  <si>
    <t>Cowichan Valley Trail</t>
  </si>
  <si>
    <t>SAANICHTON</t>
  </si>
  <si>
    <t>MALAHAT</t>
  </si>
  <si>
    <t>SHAWNIGAN LAKE</t>
  </si>
  <si>
    <t>GENOA BAY</t>
  </si>
  <si>
    <t>Genoa Bay Marina</t>
  </si>
  <si>
    <t>GORDON BAY</t>
  </si>
  <si>
    <t>YOUBOU</t>
  </si>
  <si>
    <t>North Shore Main</t>
  </si>
  <si>
    <t>LADYSMITH</t>
  </si>
  <si>
    <t>11846 Elliot Way</t>
  </si>
  <si>
    <t>NANAIMO</t>
  </si>
  <si>
    <t>Bluebird Motel</t>
  </si>
  <si>
    <t>995 Terminal Ave. N.</t>
  </si>
  <si>
    <t>Secret</t>
  </si>
  <si>
    <t>COOMBS</t>
  </si>
  <si>
    <t>Tibetan Buddhist Centre</t>
  </si>
  <si>
    <t>2800 Grafon Ave.</t>
  </si>
  <si>
    <t>INFORMATION</t>
  </si>
  <si>
    <t>STAFFED</t>
  </si>
  <si>
    <t>CUMBERLAND</t>
  </si>
  <si>
    <t>CAMPBELL RIVER</t>
  </si>
  <si>
    <t>50th Parallel Monument</t>
  </si>
  <si>
    <t>414 Island Hwy S.</t>
  </si>
  <si>
    <t>BUCKLEY BAY</t>
  </si>
  <si>
    <t>Rest Area</t>
  </si>
  <si>
    <t>6866 Buckley Bay Rd</t>
  </si>
  <si>
    <t>MILL BAY</t>
  </si>
  <si>
    <t>BC Ferries Terminal</t>
  </si>
  <si>
    <t>Ferry Rd</t>
  </si>
  <si>
    <t>BRENTOOD BAY</t>
  </si>
  <si>
    <t>809 Verdier Ave</t>
  </si>
  <si>
    <t>SELF SIGN</t>
  </si>
  <si>
    <t>SAANICH</t>
  </si>
  <si>
    <t xml:space="preserve"> @ Blenkinsop Gnwy</t>
  </si>
  <si>
    <t>METCHOSIN</t>
  </si>
  <si>
    <t>Lombard @ William Head</t>
  </si>
  <si>
    <t>VICTORIA</t>
  </si>
  <si>
    <t>Clover Point</t>
  </si>
  <si>
    <t>Bridges and Ferry Tour</t>
  </si>
  <si>
    <t>Trans Canada Hwy, #1</t>
  </si>
  <si>
    <t>Elliots Beach Park</t>
  </si>
  <si>
    <t>Pine Point Recreation Site</t>
  </si>
  <si>
    <t>LAZO</t>
  </si>
  <si>
    <t>Comox Air Force Musem</t>
  </si>
  <si>
    <t>Military Row @ Ryan Rd</t>
  </si>
  <si>
    <t>Left side.  Opening hour ??</t>
  </si>
  <si>
    <t>Sign at washoom</t>
  </si>
  <si>
    <t>What species is endangered?</t>
  </si>
  <si>
    <t>Tree left side of entrance</t>
  </si>
  <si>
    <t>How many hearts?</t>
  </si>
  <si>
    <t>1          2          3</t>
  </si>
  <si>
    <t>Bike rack</t>
  </si>
  <si>
    <t>How many hangers?</t>
  </si>
  <si>
    <t>Info sign to right of washroom</t>
  </si>
  <si>
    <t>LEFT     CENTRE       RIGHT</t>
  </si>
  <si>
    <t>LEFT       RIGHT</t>
  </si>
  <si>
    <t>Diamond sign on fence left side of ramp</t>
  </si>
  <si>
    <t>Malahat Community ____?____</t>
  </si>
  <si>
    <t>Name of Helgesen farm ?</t>
  </si>
  <si>
    <t>Marker is 5 metres before stop sign</t>
  </si>
  <si>
    <t>Sign to right of gate.  Bylaw ###?</t>
  </si>
  <si>
    <t>Lochside Trail washroom/repair station</t>
  </si>
  <si>
    <t>Heritage Marker</t>
  </si>
  <si>
    <t xml:space="preserve">Washroom/repair station </t>
  </si>
  <si>
    <t>Lochside Trail  @ Blenkinsop Gnwy</t>
  </si>
  <si>
    <t>Public Washrooms</t>
  </si>
  <si>
    <t xml:space="preserve">Gordon Bay Provincial Park </t>
  </si>
  <si>
    <t>Day Use Area</t>
  </si>
  <si>
    <t>Boat Ramp</t>
  </si>
  <si>
    <t>Ocean Access sign to right of ramp</t>
  </si>
  <si>
    <t>Beach food concession</t>
  </si>
  <si>
    <t>Historical photos are on which panel?</t>
  </si>
  <si>
    <t>Lake Park Campground</t>
  </si>
  <si>
    <t>Chalkboard is on which side of serving window?</t>
  </si>
  <si>
    <t>Yellow repair stand</t>
  </si>
  <si>
    <t>How many tool cables?</t>
  </si>
  <si>
    <t>3          4          5</t>
  </si>
  <si>
    <t>Blue wheelchair sign on entry door</t>
  </si>
  <si>
    <t>Name above wheelchair?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</si>
</sst>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
  </numFmts>
  <fonts count="34"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20"/>
      <color theme="0" tint="-0.249977111117893"/>
      <name val="Impact"/>
      <family val="2"/>
    </font>
    <font>
      <sz val="16"/>
      <color rgb="FFFF0000"/>
      <name val="Arial"/>
      <family val="2"/>
    </font>
    <font>
      <sz val="9"/>
      <name val="Arial"/>
      <family val="2"/>
    </font>
    <font>
      <sz val="11"/>
      <name val="Arial Narrow"/>
      <family val="2"/>
    </font>
    <font>
      <sz val="12"/>
      <name val="Arial Narrow"/>
      <family val="2"/>
    </font>
  </fonts>
  <fills count="3">
    <fill>
      <patternFill patternType="none"/>
    </fill>
    <fill>
      <patternFill patternType="gray125"/>
    </fill>
    <fill>
      <patternFill patternType="solid">
        <fgColor indexed="22"/>
        <bgColor indexed="64"/>
      </patternFill>
    </fill>
  </fills>
  <borders count="30">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s>
  <cellStyleXfs count="356">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63">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9" xfId="0" applyBorder="1"/>
    <xf numFmtId="0" fontId="0" fillId="0" borderId="6" xfId="0" applyBorder="1"/>
    <xf numFmtId="0" fontId="10" fillId="0" borderId="0" xfId="0" applyFont="1" applyProtection="1"/>
    <xf numFmtId="0" fontId="0" fillId="0" borderId="0" xfId="0" applyProtection="1"/>
    <xf numFmtId="0" fontId="0" fillId="0" borderId="20" xfId="0" applyBorder="1" applyProtection="1"/>
    <xf numFmtId="0" fontId="0" fillId="0" borderId="21" xfId="0" applyBorder="1" applyProtection="1"/>
    <xf numFmtId="0" fontId="0" fillId="0" borderId="0" xfId="0" applyBorder="1" applyProtection="1"/>
    <xf numFmtId="0" fontId="0" fillId="0" borderId="17"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3" xfId="0" applyNumberFormat="1" applyBorder="1" applyProtection="1">
      <protection locked="0"/>
    </xf>
    <xf numFmtId="0" fontId="0" fillId="0" borderId="0" xfId="0" applyBorder="1" applyAlignment="1">
      <alignment horizontal="center"/>
    </xf>
    <xf numFmtId="0" fontId="0" fillId="0" borderId="0" xfId="0" applyBorder="1"/>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Border="1" applyAlignment="1" applyProtection="1">
      <alignment horizontal="right"/>
    </xf>
    <xf numFmtId="0" fontId="10" fillId="0" borderId="0" xfId="0" applyFont="1" applyBorder="1" applyAlignment="1" applyProtection="1">
      <alignment horizontal="left"/>
    </xf>
    <xf numFmtId="0" fontId="10" fillId="0" borderId="0" xfId="0" applyFont="1" applyAlignment="1" applyProtection="1"/>
    <xf numFmtId="0" fontId="5" fillId="2" borderId="3" xfId="0" applyFont="1" applyFill="1" applyBorder="1" applyAlignment="1">
      <alignment horizontal="right"/>
    </xf>
    <xf numFmtId="168" fontId="10" fillId="0" borderId="0" xfId="0" applyNumberFormat="1" applyFont="1" applyBorder="1" applyAlignment="1">
      <alignment horizontal="center"/>
    </xf>
    <xf numFmtId="0" fontId="10" fillId="0" borderId="0" xfId="0" quotePrefix="1" applyFont="1" applyAlignment="1">
      <alignment horizontal="right" vertical="center"/>
    </xf>
    <xf numFmtId="0" fontId="10" fillId="0" borderId="0" xfId="0" applyFont="1" applyAlignment="1">
      <alignment vertical="center"/>
    </xf>
    <xf numFmtId="167" fontId="0" fillId="0" borderId="24" xfId="0" applyNumberFormat="1" applyBorder="1" applyProtection="1">
      <protection locked="0"/>
    </xf>
    <xf numFmtId="0" fontId="14" fillId="0" borderId="16" xfId="0" applyFont="1" applyBorder="1" applyAlignment="1">
      <alignment horizontal="center" vertical="top" wrapText="1"/>
    </xf>
    <xf numFmtId="0" fontId="6" fillId="0" borderId="0" xfId="0" applyFont="1" applyBorder="1" applyAlignment="1" applyProtection="1">
      <alignment wrapText="1"/>
    </xf>
    <xf numFmtId="0" fontId="10" fillId="0" borderId="0" xfId="0" applyFont="1" applyBorder="1"/>
    <xf numFmtId="0" fontId="10" fillId="0" borderId="0" xfId="0" applyFont="1" applyBorder="1" applyProtection="1"/>
    <xf numFmtId="168" fontId="10" fillId="0" borderId="0" xfId="0" applyNumberFormat="1"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18" fontId="23" fillId="0" borderId="0" xfId="0" applyNumberFormat="1" applyFont="1" applyBorder="1" applyAlignment="1">
      <alignment horizontal="center" wrapText="1"/>
    </xf>
    <xf numFmtId="0" fontId="10" fillId="0" borderId="0" xfId="0" applyNumberFormat="1" applyFont="1" applyBorder="1" applyAlignment="1" applyProtection="1">
      <alignment horizontal="left" vertical="center"/>
    </xf>
    <xf numFmtId="169" fontId="10" fillId="0" borderId="0" xfId="0" applyNumberFormat="1" applyFont="1" applyBorder="1" applyAlignment="1" applyProtection="1">
      <alignment horizontal="left" vertical="center"/>
    </xf>
    <xf numFmtId="0" fontId="27" fillId="2" borderId="12" xfId="0" applyFont="1" applyFill="1" applyBorder="1"/>
    <xf numFmtId="0" fontId="27"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1" fontId="13" fillId="0" borderId="4" xfId="0" applyNumberFormat="1" applyFont="1" applyBorder="1" applyProtection="1">
      <protection locked="0"/>
    </xf>
    <xf numFmtId="15" fontId="13" fillId="0" borderId="4" xfId="0" applyNumberFormat="1" applyFont="1" applyBorder="1" applyProtection="1">
      <protection locked="0"/>
    </xf>
    <xf numFmtId="20" fontId="13" fillId="0" borderId="8" xfId="0" applyNumberFormat="1" applyFont="1" applyBorder="1" applyProtection="1">
      <protection locked="0"/>
    </xf>
    <xf numFmtId="0" fontId="28"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5" fillId="0" borderId="25" xfId="0" applyFont="1" applyBorder="1" applyProtection="1">
      <protection locked="0"/>
    </xf>
    <xf numFmtId="49" fontId="5" fillId="0" borderId="25" xfId="0" applyNumberFormat="1" applyFont="1" applyBorder="1" applyAlignment="1" applyProtection="1">
      <alignment horizontal="center"/>
      <protection locked="0"/>
    </xf>
    <xf numFmtId="49" fontId="5" fillId="0" borderId="23" xfId="0" applyNumberFormat="1" applyFont="1" applyBorder="1" applyAlignment="1" applyProtection="1">
      <alignment horizontal="center"/>
      <protection locked="0"/>
    </xf>
    <xf numFmtId="0" fontId="10" fillId="0" borderId="0" xfId="0" applyFont="1" applyAlignment="1">
      <alignment horizontal="center"/>
    </xf>
    <xf numFmtId="167" fontId="0" fillId="0" borderId="0" xfId="0" applyNumberFormat="1"/>
    <xf numFmtId="0" fontId="14" fillId="0" borderId="7" xfId="0" applyFont="1" applyBorder="1" applyAlignment="1">
      <alignment horizontal="center" vertical="top" wrapText="1"/>
    </xf>
    <xf numFmtId="2" fontId="0" fillId="0" borderId="0" xfId="0" applyNumberFormat="1"/>
    <xf numFmtId="0" fontId="9" fillId="0" borderId="0" xfId="0" applyNumberFormat="1" applyFont="1" applyBorder="1" applyAlignment="1">
      <alignment horizontal="center" wrapText="1"/>
    </xf>
    <xf numFmtId="0" fontId="9" fillId="0" borderId="0" xfId="0" applyFont="1" applyAlignment="1"/>
    <xf numFmtId="0" fontId="5" fillId="0" borderId="0" xfId="0" applyFont="1"/>
    <xf numFmtId="0" fontId="27" fillId="2" borderId="26" xfId="0" applyFont="1" applyFill="1" applyBorder="1"/>
    <xf numFmtId="0" fontId="0" fillId="2" borderId="28" xfId="0" applyFill="1" applyBorder="1" applyAlignment="1">
      <alignment horizontal="right"/>
    </xf>
    <xf numFmtId="15" fontId="13" fillId="0" borderId="27" xfId="0" applyNumberFormat="1" applyFont="1" applyBorder="1" applyProtection="1">
      <protection locked="0"/>
    </xf>
    <xf numFmtId="0" fontId="5" fillId="2" borderId="29" xfId="0" applyFont="1" applyFill="1" applyBorder="1" applyAlignment="1">
      <alignment horizontal="right"/>
    </xf>
    <xf numFmtId="0" fontId="6" fillId="0" borderId="0" xfId="0" applyFont="1" applyBorder="1" applyAlignment="1" applyProtection="1">
      <alignment vertical="top" wrapText="1"/>
    </xf>
    <xf numFmtId="0" fontId="0" fillId="0" borderId="0" xfId="0" applyAlignment="1"/>
    <xf numFmtId="0" fontId="5" fillId="0" borderId="0" xfId="0" applyFont="1" applyAlignment="1"/>
    <xf numFmtId="0" fontId="5" fillId="0" borderId="0" xfId="0" applyFont="1" applyAlignment="1">
      <alignment wrapText="1"/>
    </xf>
    <xf numFmtId="0" fontId="0" fillId="0" borderId="0" xfId="0" applyProtection="1">
      <protection locked="0"/>
    </xf>
    <xf numFmtId="0" fontId="14" fillId="0" borderId="16" xfId="0" applyFont="1" applyBorder="1" applyAlignment="1" applyProtection="1">
      <alignment horizontal="center" vertical="center" wrapText="1"/>
      <protection locked="0"/>
    </xf>
    <xf numFmtId="0" fontId="7" fillId="0" borderId="16" xfId="0" applyFont="1" applyBorder="1" applyAlignment="1" applyProtection="1">
      <alignment horizontal="center" wrapText="1"/>
      <protection locked="0"/>
    </xf>
    <xf numFmtId="0" fontId="14" fillId="0" borderId="16" xfId="0" applyFont="1" applyBorder="1" applyAlignment="1" applyProtection="1">
      <alignment horizontal="center" vertical="top" wrapText="1"/>
      <protection locked="0"/>
    </xf>
    <xf numFmtId="0" fontId="14" fillId="0" borderId="7" xfId="0" applyFont="1" applyBorder="1" applyAlignment="1" applyProtection="1">
      <alignment horizontal="center" wrapText="1"/>
      <protection locked="0"/>
    </xf>
    <xf numFmtId="0" fontId="7" fillId="0" borderId="7" xfId="0" applyFont="1" applyBorder="1" applyProtection="1">
      <protection locked="0"/>
    </xf>
    <xf numFmtId="0" fontId="14" fillId="0" borderId="7" xfId="0" applyFont="1" applyBorder="1" applyAlignment="1" applyProtection="1">
      <alignment horizontal="center" vertical="center" wrapText="1"/>
      <protection locked="0"/>
    </xf>
    <xf numFmtId="168" fontId="10" fillId="0" borderId="18" xfId="0" applyNumberFormat="1" applyFont="1" applyBorder="1" applyAlignment="1" applyProtection="1">
      <alignment horizontal="center"/>
      <protection locked="0"/>
    </xf>
    <xf numFmtId="0" fontId="0" fillId="0" borderId="19" xfId="0" applyBorder="1" applyProtection="1"/>
    <xf numFmtId="0" fontId="0" fillId="0" borderId="6" xfId="0" applyBorder="1" applyProtection="1"/>
    <xf numFmtId="15" fontId="32" fillId="0" borderId="4" xfId="0" applyNumberFormat="1" applyFont="1" applyBorder="1" applyAlignment="1" applyProtection="1">
      <alignment horizontal="center"/>
      <protection locked="0"/>
    </xf>
    <xf numFmtId="0" fontId="31" fillId="2" borderId="29" xfId="0" applyFont="1" applyFill="1" applyBorder="1" applyAlignment="1">
      <alignment horizontal="right"/>
    </xf>
    <xf numFmtId="15" fontId="31" fillId="2" borderId="2" xfId="0" applyNumberFormat="1" applyFont="1" applyFill="1" applyBorder="1" applyAlignment="1">
      <alignment horizontal="left"/>
    </xf>
    <xf numFmtId="0" fontId="31" fillId="0" borderId="0" xfId="0" applyFont="1" applyAlignment="1"/>
    <xf numFmtId="0" fontId="31" fillId="0" borderId="0" xfId="0" applyFont="1"/>
    <xf numFmtId="0" fontId="31" fillId="0" borderId="0" xfId="0" applyFont="1" applyAlignment="1">
      <alignment wrapText="1"/>
    </xf>
    <xf numFmtId="167" fontId="0" fillId="0" borderId="13" xfId="0" applyNumberFormat="1" applyBorder="1" applyProtection="1"/>
    <xf numFmtId="49" fontId="33" fillId="0" borderId="14" xfId="0" applyNumberFormat="1" applyFont="1" applyBorder="1" applyAlignment="1" applyProtection="1">
      <alignment horizontal="center"/>
      <protection locked="0"/>
    </xf>
    <xf numFmtId="0" fontId="14" fillId="0" borderId="7" xfId="0" applyFont="1" applyBorder="1" applyAlignment="1" applyProtection="1">
      <alignment horizontal="center" vertical="top" wrapText="1"/>
      <protection locked="0"/>
    </xf>
    <xf numFmtId="0" fontId="5" fillId="2" borderId="9" xfId="0" applyFont="1"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31" fillId="0" borderId="0" xfId="0" applyFont="1" applyAlignment="1">
      <alignment horizontal="left" vertical="top" wrapText="1"/>
    </xf>
    <xf numFmtId="0" fontId="30" fillId="0" borderId="0" xfId="0" applyFont="1" applyAlignment="1">
      <alignment horizontal="left"/>
    </xf>
    <xf numFmtId="0" fontId="13" fillId="0" borderId="9"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3" fillId="0" borderId="10" xfId="0" applyFont="1" applyBorder="1" applyAlignment="1" applyProtection="1">
      <alignment horizontal="left"/>
      <protection locked="0"/>
    </xf>
    <xf numFmtId="0" fontId="28" fillId="0" borderId="0" xfId="0" applyFont="1" applyAlignment="1">
      <alignment horizontal="right"/>
    </xf>
    <xf numFmtId="0" fontId="0" fillId="2" borderId="9" xfId="0" applyFill="1" applyBorder="1" applyAlignment="1">
      <alignment horizontal="center"/>
    </xf>
    <xf numFmtId="0" fontId="10" fillId="0" borderId="0" xfId="0" applyFont="1" applyAlignment="1" applyProtection="1">
      <alignment horizontal="righ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20" xfId="0" applyFont="1" applyBorder="1" applyAlignment="1">
      <alignment horizontal="center" vertical="top"/>
    </xf>
    <xf numFmtId="0" fontId="9" fillId="0" borderId="0" xfId="0" applyFont="1" applyAlignment="1">
      <alignment horizontal="center"/>
    </xf>
    <xf numFmtId="18" fontId="23" fillId="0" borderId="18" xfId="0" applyNumberFormat="1" applyFont="1" applyBorder="1" applyAlignment="1">
      <alignment horizontal="center" wrapText="1"/>
    </xf>
    <xf numFmtId="0" fontId="19" fillId="0" borderId="0" xfId="0" applyFont="1" applyAlignment="1">
      <alignment horizontal="center" vertical="top"/>
    </xf>
    <xf numFmtId="0" fontId="19" fillId="0" borderId="0" xfId="0" applyFont="1" applyAlignment="1">
      <alignment horizontal="center"/>
    </xf>
    <xf numFmtId="0" fontId="0" fillId="0" borderId="18" xfId="0" applyBorder="1" applyAlignment="1" applyProtection="1">
      <alignment horizontal="left"/>
      <protection locked="0"/>
    </xf>
    <xf numFmtId="0" fontId="29" fillId="0" borderId="18" xfId="0" applyFont="1" applyBorder="1" applyAlignment="1" applyProtection="1">
      <alignment horizontal="left"/>
      <protection locked="0"/>
    </xf>
    <xf numFmtId="0" fontId="8" fillId="0" borderId="5" xfId="0" applyFont="1" applyBorder="1" applyAlignment="1" applyProtection="1">
      <alignment horizontal="left"/>
      <protection locked="0"/>
    </xf>
    <xf numFmtId="0" fontId="7" fillId="0" borderId="18" xfId="0" applyFont="1" applyFill="1" applyBorder="1" applyAlignment="1" applyProtection="1">
      <alignment horizontal="center" wrapText="1"/>
      <protection locked="0"/>
    </xf>
    <xf numFmtId="168" fontId="10" fillId="0" borderId="18" xfId="0" applyNumberFormat="1" applyFont="1" applyBorder="1" applyAlignment="1" applyProtection="1">
      <alignment horizontal="left"/>
      <protection locked="0"/>
    </xf>
    <xf numFmtId="169" fontId="12" fillId="0" borderId="5" xfId="0" applyNumberFormat="1" applyFont="1" applyBorder="1" applyAlignment="1" applyProtection="1">
      <alignment horizontal="left"/>
      <protection locked="0"/>
    </xf>
    <xf numFmtId="0" fontId="10" fillId="0" borderId="5" xfId="0" applyFont="1" applyBorder="1" applyAlignment="1" applyProtection="1">
      <alignment horizontal="left"/>
      <protection locked="0"/>
    </xf>
    <xf numFmtId="0" fontId="21" fillId="0" borderId="18" xfId="0" applyFont="1" applyBorder="1" applyAlignment="1">
      <alignment horizontal="center" vertical="center"/>
    </xf>
    <xf numFmtId="167" fontId="12" fillId="0" borderId="20" xfId="0" applyNumberFormat="1" applyFont="1" applyBorder="1" applyAlignment="1">
      <alignment horizontal="center" vertical="center"/>
    </xf>
    <xf numFmtId="0" fontId="10" fillId="0" borderId="0" xfId="0" applyFont="1" applyAlignment="1">
      <alignment horizontal="right" vertical="center"/>
    </xf>
    <xf numFmtId="0" fontId="12" fillId="0" borderId="18" xfId="0" applyFont="1" applyBorder="1" applyAlignment="1" applyProtection="1">
      <alignment horizontal="left"/>
      <protection locked="0"/>
    </xf>
    <xf numFmtId="168" fontId="10" fillId="0" borderId="0" xfId="0" applyNumberFormat="1" applyFont="1" applyBorder="1" applyAlignment="1">
      <alignment horizontal="left" vertical="center"/>
    </xf>
    <xf numFmtId="0" fontId="0" fillId="0" borderId="0" xfId="0" applyAlignment="1">
      <alignment horizontal="left" vertical="top"/>
    </xf>
    <xf numFmtId="0" fontId="10" fillId="0" borderId="18" xfId="0" applyFont="1" applyBorder="1" applyAlignment="1" applyProtection="1">
      <alignment horizontal="left"/>
      <protection locked="0"/>
    </xf>
    <xf numFmtId="0" fontId="5" fillId="0" borderId="22" xfId="0" applyFont="1" applyBorder="1" applyAlignment="1">
      <alignment horizontal="right"/>
    </xf>
    <xf numFmtId="0" fontId="0" fillId="0" borderId="18" xfId="0" applyBorder="1" applyAlignment="1">
      <alignment horizontal="right"/>
    </xf>
    <xf numFmtId="0" fontId="0" fillId="0" borderId="8" xfId="0" applyBorder="1" applyAlignment="1">
      <alignment horizontal="right"/>
    </xf>
    <xf numFmtId="15" fontId="0" fillId="0" borderId="22" xfId="0" applyNumberFormat="1" applyBorder="1" applyAlignment="1">
      <alignment horizontal="left"/>
    </xf>
    <xf numFmtId="0" fontId="0" fillId="0" borderId="18" xfId="0" applyBorder="1" applyAlignment="1">
      <alignment horizontal="left"/>
    </xf>
    <xf numFmtId="0" fontId="0" fillId="0" borderId="8" xfId="0" applyBorder="1" applyAlignment="1">
      <alignment horizontal="left"/>
    </xf>
    <xf numFmtId="0" fontId="10" fillId="0" borderId="18" xfId="0" applyFont="1" applyBorder="1" applyProtection="1">
      <protection locked="0"/>
    </xf>
    <xf numFmtId="168" fontId="10" fillId="0" borderId="18" xfId="0" applyNumberFormat="1" applyFont="1" applyBorder="1" applyAlignment="1" applyProtection="1">
      <alignment horizontal="center"/>
      <protection locked="0"/>
    </xf>
    <xf numFmtId="0" fontId="6" fillId="0" borderId="0" xfId="0" applyFont="1" applyBorder="1" applyAlignment="1" applyProtection="1">
      <alignment horizontal="center" wrapText="1"/>
    </xf>
    <xf numFmtId="0" fontId="5" fillId="0" borderId="0" xfId="0" applyFont="1" applyBorder="1" applyAlignment="1">
      <alignment horizontal="right" vertical="top"/>
    </xf>
    <xf numFmtId="0" fontId="0" fillId="0" borderId="0" xfId="0" applyBorder="1" applyAlignment="1">
      <alignment horizontal="right" vertical="top"/>
    </xf>
    <xf numFmtId="15" fontId="0" fillId="0" borderId="0" xfId="0" applyNumberFormat="1" applyBorder="1" applyAlignment="1">
      <alignment horizontal="left" vertical="top"/>
    </xf>
    <xf numFmtId="0" fontId="0" fillId="0" borderId="0" xfId="0" applyBorder="1" applyAlignment="1">
      <alignment horizontal="left" vertical="top"/>
    </xf>
    <xf numFmtId="0" fontId="19" fillId="0" borderId="0" xfId="0" applyFont="1" applyBorder="1" applyAlignment="1">
      <alignment horizontal="center"/>
    </xf>
    <xf numFmtId="168" fontId="10" fillId="0" borderId="18" xfId="0" applyNumberFormat="1" applyFont="1" applyBorder="1" applyAlignment="1">
      <alignment horizontal="center"/>
    </xf>
    <xf numFmtId="0" fontId="7" fillId="0" borderId="18" xfId="0" applyFont="1" applyFill="1" applyBorder="1" applyAlignment="1" applyProtection="1">
      <alignment horizontal="left" wrapText="1"/>
      <protection locked="0"/>
    </xf>
  </cellXfs>
  <cellStyles count="3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Normal" xfId="0" builtinId="0"/>
    <cellStyle name="Normal 2" xfId="282" xr:uid="{00000000-0005-0000-0000-00005E010000}"/>
    <cellStyle name="Normal 3" xfId="283" xr:uid="{00000000-0005-0000-0000-00005F010000}"/>
    <cellStyle name="Normal 3 2" xfId="285" xr:uid="{00000000-0005-0000-0000-000060010000}"/>
    <cellStyle name="Normal 3 2 2" xfId="286" xr:uid="{00000000-0005-0000-0000-000061010000}"/>
    <cellStyle name="Normal 3 2 3" xfId="287" xr:uid="{00000000-0005-0000-0000-000062010000}"/>
    <cellStyle name="Normal 4" xfId="284" xr:uid="{00000000-0005-0000-0000-000063010000}"/>
  </cellStyles>
  <dxfs count="15">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border>
        <left/>
        <right/>
        <top/>
        <bottom/>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1113477" y="485206"/>
          <a:ext cx="1992923" cy="1566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099800" y="465993"/>
          <a:ext cx="2006600" cy="1566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7243A14B-4D96-E346-B75C-AEE5C2592045}"/>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5EEAACE2-AD57-BD48-BB33-9A5E9F368AED}"/>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3"/>
  <sheetViews>
    <sheetView showGridLines="0" tabSelected="1" zoomScale="150" zoomScaleNormal="160" zoomScalePageLayoutView="135" workbookViewId="0">
      <selection activeCell="I57" sqref="I57:J57"/>
    </sheetView>
  </sheetViews>
  <sheetFormatPr baseColWidth="10" defaultColWidth="8.83203125" defaultRowHeight="13" x14ac:dyDescent="0.15"/>
  <cols>
    <col min="1" max="1" width="16.5" style="2" customWidth="1"/>
    <col min="2" max="2" width="10.5" bestFit="1" customWidth="1"/>
    <col min="3" max="3" width="8.83203125" style="3" hidden="1" customWidth="1"/>
    <col min="4" max="4" width="8.33203125" customWidth="1"/>
    <col min="5" max="5" width="17" bestFit="1" customWidth="1"/>
    <col min="6" max="6" width="18" bestFit="1" customWidth="1"/>
    <col min="7" max="7" width="23.5" customWidth="1"/>
    <col min="8" max="8" width="25.1640625" bestFit="1" customWidth="1"/>
    <col min="9" max="11" width="31.1640625" customWidth="1"/>
    <col min="12" max="15" width="17.83203125" hidden="1" customWidth="1"/>
  </cols>
  <sheetData>
    <row r="1" spans="1:26" ht="20" customHeight="1" x14ac:dyDescent="0.2">
      <c r="A1" s="119" t="s">
        <v>83</v>
      </c>
      <c r="B1" s="119"/>
      <c r="C1" s="119"/>
      <c r="D1" s="119"/>
      <c r="E1" s="119"/>
      <c r="F1" s="119"/>
      <c r="G1" s="119"/>
      <c r="H1" s="119"/>
      <c r="I1" s="94" t="s">
        <v>85</v>
      </c>
      <c r="Q1" s="118" t="s">
        <v>89</v>
      </c>
      <c r="R1" s="118"/>
      <c r="S1" s="118"/>
      <c r="T1" s="118"/>
      <c r="U1" s="118"/>
      <c r="V1" s="118"/>
      <c r="W1" s="118"/>
      <c r="X1" s="118"/>
      <c r="Y1" s="118"/>
      <c r="Z1" s="118"/>
    </row>
    <row r="2" spans="1:26" ht="13" customHeight="1" thickBot="1" x14ac:dyDescent="0.2">
      <c r="H2" s="95"/>
      <c r="I2" s="95"/>
      <c r="Q2" s="118"/>
      <c r="R2" s="118"/>
      <c r="S2" s="118"/>
      <c r="T2" s="118"/>
      <c r="U2" s="118"/>
      <c r="V2" s="118"/>
      <c r="W2" s="118"/>
      <c r="X2" s="118"/>
      <c r="Y2" s="118"/>
      <c r="Z2" s="118"/>
    </row>
    <row r="3" spans="1:26" s="110" customFormat="1" ht="13" customHeight="1" thickBot="1" x14ac:dyDescent="0.2">
      <c r="A3" s="107" t="s">
        <v>82</v>
      </c>
      <c r="B3" s="108">
        <v>44700</v>
      </c>
      <c r="C3" s="109"/>
      <c r="D3" s="109"/>
      <c r="G3" s="109"/>
      <c r="H3" s="111"/>
      <c r="I3" s="111"/>
      <c r="Q3" s="118"/>
      <c r="R3" s="118"/>
      <c r="S3" s="118"/>
      <c r="T3" s="118"/>
      <c r="U3" s="118"/>
      <c r="V3" s="118"/>
      <c r="W3" s="118"/>
      <c r="X3" s="118"/>
      <c r="Y3" s="118"/>
      <c r="Z3" s="118"/>
    </row>
    <row r="4" spans="1:26" ht="13" customHeight="1" x14ac:dyDescent="0.15">
      <c r="A4" s="91" t="s">
        <v>86</v>
      </c>
      <c r="B4" s="106">
        <v>44783</v>
      </c>
      <c r="C4" s="93"/>
      <c r="D4" s="93"/>
      <c r="G4" s="93"/>
      <c r="H4" s="95"/>
      <c r="I4" s="95"/>
      <c r="Q4" s="118"/>
      <c r="R4" s="118"/>
      <c r="S4" s="118"/>
      <c r="T4" s="118"/>
      <c r="U4" s="118"/>
      <c r="V4" s="118"/>
      <c r="W4" s="118"/>
      <c r="X4" s="118"/>
      <c r="Y4" s="118"/>
      <c r="Z4" s="118"/>
    </row>
    <row r="5" spans="1:26" ht="14" thickBot="1" x14ac:dyDescent="0.2">
      <c r="H5" s="95"/>
      <c r="I5" s="95"/>
      <c r="Q5" s="118"/>
      <c r="R5" s="118"/>
      <c r="S5" s="118"/>
      <c r="T5" s="118"/>
      <c r="U5" s="118"/>
      <c r="V5" s="118"/>
      <c r="W5" s="118"/>
      <c r="X5" s="118"/>
      <c r="Y5" s="118"/>
      <c r="Z5" s="118"/>
    </row>
    <row r="6" spans="1:26" ht="18" x14ac:dyDescent="0.2">
      <c r="A6" s="11" t="s">
        <v>18</v>
      </c>
      <c r="B6" s="69">
        <v>1000</v>
      </c>
      <c r="C6">
        <f>IF(Brevet_Length&gt;=1200,Brevet_Length,IF(Brevet_Length&gt;=1000,1000,IF(Brevet_Length&gt;=600,600,IF(Brevet_Length&gt;=400,400,IF(Brevet_Length&gt;=300,300,IF(Brevet_Length&gt;=200,200,100))))))</f>
        <v>1000</v>
      </c>
      <c r="J6" s="123" t="s">
        <v>63</v>
      </c>
      <c r="K6" s="123"/>
      <c r="Q6" s="73" t="s">
        <v>64</v>
      </c>
      <c r="R6" s="73"/>
      <c r="S6" s="73"/>
      <c r="T6" s="73"/>
      <c r="U6" s="73"/>
      <c r="V6" s="73"/>
      <c r="W6" s="73"/>
    </row>
    <row r="7" spans="1:26" ht="14" thickBot="1" x14ac:dyDescent="0.2">
      <c r="A7" s="12" t="s">
        <v>19</v>
      </c>
      <c r="B7" s="13">
        <f>IF(brevet=1200,90,IF(brevet=1000,75,IF(brevet=600,40,IF(brevet=400,27,IF(brevet=300,20,IF(brevet=200,13.5,IF(brevet=100,7,0)))))))</f>
        <v>75</v>
      </c>
      <c r="Q7" t="s">
        <v>65</v>
      </c>
    </row>
    <row r="8" spans="1:26" ht="19" thickBot="1" x14ac:dyDescent="0.25">
      <c r="A8" s="12" t="s">
        <v>20</v>
      </c>
      <c r="B8" s="120" t="s">
        <v>134</v>
      </c>
      <c r="C8" s="121"/>
      <c r="D8" s="121"/>
      <c r="E8" s="121"/>
      <c r="F8" s="121"/>
      <c r="G8" s="121"/>
      <c r="H8" s="122"/>
      <c r="I8" s="27"/>
      <c r="J8" s="27"/>
      <c r="K8" s="27"/>
      <c r="O8" s="28"/>
      <c r="P8" s="28"/>
      <c r="Q8" s="73" t="s">
        <v>66</v>
      </c>
    </row>
    <row r="9" spans="1:26" ht="18" x14ac:dyDescent="0.2">
      <c r="A9" s="12" t="s">
        <v>21</v>
      </c>
      <c r="B9" s="70">
        <v>5163</v>
      </c>
      <c r="C9" s="24"/>
      <c r="F9" s="25"/>
      <c r="G9" s="25"/>
      <c r="H9" s="25"/>
      <c r="I9" s="25"/>
      <c r="J9" s="25"/>
      <c r="K9" s="25"/>
      <c r="Q9" s="73" t="s">
        <v>67</v>
      </c>
    </row>
    <row r="10" spans="1:26" ht="18" x14ac:dyDescent="0.2">
      <c r="A10" s="48" t="s">
        <v>48</v>
      </c>
      <c r="B10" s="71">
        <v>44786</v>
      </c>
      <c r="Q10" s="73" t="s">
        <v>68</v>
      </c>
    </row>
    <row r="11" spans="1:26" ht="6" customHeight="1" x14ac:dyDescent="0.15">
      <c r="B11" s="96"/>
    </row>
    <row r="12" spans="1:26" ht="18" customHeight="1" thickBot="1" x14ac:dyDescent="0.25">
      <c r="A12" s="89" t="s">
        <v>22</v>
      </c>
      <c r="B12" s="90">
        <v>44786</v>
      </c>
      <c r="Q12" s="73" t="s">
        <v>76</v>
      </c>
    </row>
    <row r="13" spans="1:26" ht="19" thickBot="1" x14ac:dyDescent="0.25">
      <c r="A13" s="10" t="s">
        <v>23</v>
      </c>
      <c r="B13" s="72">
        <v>0.22916666666666666</v>
      </c>
      <c r="D13" s="115" t="s">
        <v>81</v>
      </c>
      <c r="E13" s="116"/>
      <c r="F13" s="116"/>
      <c r="G13" s="116"/>
      <c r="H13" s="116"/>
      <c r="I13" s="124" t="s">
        <v>71</v>
      </c>
      <c r="J13" s="116"/>
      <c r="K13" s="117"/>
      <c r="Q13" s="73" t="s">
        <v>75</v>
      </c>
    </row>
    <row r="14" spans="1:26" ht="14" thickBot="1" x14ac:dyDescent="0.2">
      <c r="D14" s="6" t="s">
        <v>24</v>
      </c>
      <c r="E14" s="7" t="s">
        <v>25</v>
      </c>
      <c r="F14" s="63" t="s">
        <v>26</v>
      </c>
      <c r="G14" s="63" t="s">
        <v>27</v>
      </c>
      <c r="H14" s="64" t="s">
        <v>28</v>
      </c>
      <c r="I14" s="7" t="s">
        <v>60</v>
      </c>
      <c r="J14" s="7" t="s">
        <v>61</v>
      </c>
      <c r="K14" s="8" t="s">
        <v>62</v>
      </c>
      <c r="L14" t="s">
        <v>3</v>
      </c>
      <c r="M14" t="s">
        <v>4</v>
      </c>
      <c r="N14" t="s">
        <v>5</v>
      </c>
      <c r="O14" t="s">
        <v>6</v>
      </c>
      <c r="Q14" s="73" t="s">
        <v>69</v>
      </c>
    </row>
    <row r="15" spans="1:26" ht="17" customHeight="1" x14ac:dyDescent="0.15">
      <c r="C15" s="3" t="s">
        <v>7</v>
      </c>
      <c r="D15" s="112">
        <v>0</v>
      </c>
      <c r="E15" s="75" t="s">
        <v>96</v>
      </c>
      <c r="F15" s="76" t="s">
        <v>114</v>
      </c>
      <c r="G15" s="76" t="s">
        <v>91</v>
      </c>
      <c r="H15" s="77" t="s">
        <v>92</v>
      </c>
      <c r="I15" s="76"/>
      <c r="J15" s="76"/>
      <c r="K15" s="77"/>
      <c r="L15" s="4">
        <f>Start_date+Start_time</f>
        <v>44786.229166666664</v>
      </c>
      <c r="M15" s="4">
        <f>L15+"1:00"</f>
        <v>44786.270833333328</v>
      </c>
      <c r="N15" s="5">
        <f>IF(ISBLANK(Distance),"",Open Control_1)</f>
        <v>44786.229166666664</v>
      </c>
      <c r="O15" s="5">
        <f>IF(ISBLANK(Distance),"",Close Control_1)</f>
        <v>44786.270833333328</v>
      </c>
      <c r="Q15" s="73" t="s">
        <v>84</v>
      </c>
    </row>
    <row r="16" spans="1:26" ht="17" customHeight="1" x14ac:dyDescent="0.15">
      <c r="B16" s="82"/>
      <c r="C16" s="3" t="s">
        <v>8</v>
      </c>
      <c r="D16" s="26">
        <v>42.5</v>
      </c>
      <c r="E16" s="75" t="s">
        <v>97</v>
      </c>
      <c r="F16" s="76" t="s">
        <v>114</v>
      </c>
      <c r="G16" s="76" t="s">
        <v>93</v>
      </c>
      <c r="H16" s="77" t="s">
        <v>135</v>
      </c>
      <c r="I16" s="76"/>
      <c r="J16" s="76"/>
      <c r="K16" s="77"/>
      <c r="L16">
        <f>IF(ISBLANK(Distance),"",IF(Distance&gt;1000,(Distance-1000)/26+33.0847,(IF(Distance&gt;600,(Distance-600)/28+18.799,(IF(Distance&gt;400,(Distance-400)/30+12.1324,(IF(Distance&gt;200,(Distance-200)/32+5.8824,Distance/34))))))))</f>
        <v>1.25</v>
      </c>
      <c r="M16">
        <f t="shared" ref="M16:M24" si="0">IF(ISBLANK(Distance),"",IF(Distance&gt;=brevet,IF(brevet&gt;1200,(brevet-1200)*75/1000+90,Max_time),IF(Distance&gt;1200,(Distance-1200)*75/1000+90,IF(Distance&gt;1000,(Distance-1000)/(1000/75)+75,IF(Distance&gt;600,(Distance-600)/(400/35)+40,IF(Distance&lt;=60,(Distance/20+1),Distance/15))))))</f>
        <v>3.125</v>
      </c>
      <c r="N16" s="5">
        <f>IF(ISBLANK(Distance),"",Open_time Control_1+(INT(Open)&amp;":"&amp;IF(ROUND(((Open-INT(Open))*60),0)&lt;10,0,"")&amp;ROUND(((Open-INT(Open))*60),0)))</f>
        <v>44786.28125</v>
      </c>
      <c r="O16" s="5">
        <f>IF(ISBLANK(Distance),"",Open_time Control_1+(INT(Close)&amp;":"&amp;IF(ROUND(((Close-INT(Close))*60),0)&lt;10,0,"")&amp;ROUND(((Close-INT(Close))*60),0)))</f>
        <v>44786.359722222223</v>
      </c>
      <c r="Q16" s="73" t="s">
        <v>70</v>
      </c>
    </row>
    <row r="17" spans="2:17" ht="17" customHeight="1" x14ac:dyDescent="0.15">
      <c r="B17" s="82"/>
      <c r="C17" s="3" t="s">
        <v>9</v>
      </c>
      <c r="D17" s="26">
        <v>82.2</v>
      </c>
      <c r="E17" s="75" t="s">
        <v>98</v>
      </c>
      <c r="F17" s="76" t="s">
        <v>114</v>
      </c>
      <c r="G17" s="76" t="s">
        <v>94</v>
      </c>
      <c r="H17" s="77" t="s">
        <v>95</v>
      </c>
      <c r="I17" s="76"/>
      <c r="J17" s="76"/>
      <c r="K17" s="77"/>
      <c r="L17">
        <f>IF(ISBLANK(Distance),"",IF(Distance&gt;1000,(Distance-1000)/26+33.0847,(IF(Distance&gt;600,(Distance-600)/28+18.799,(IF(Distance&gt;400,(Distance-400)/30+12.1324,(IF(Distance&gt;200,(Distance-200)/32+5.8824,Distance/34))))))))</f>
        <v>2.4176470588235297</v>
      </c>
      <c r="M17">
        <f t="shared" si="0"/>
        <v>5.48</v>
      </c>
      <c r="N17" s="5">
        <f>IF(ISBLANK(Distance),"",Open_time Control_1+(INT(Open)&amp;":"&amp;IF(ROUND(((Open-INT(Open))*60),0)&lt;10,0,"")&amp;ROUND(((Open-INT(Open))*60),0)))</f>
        <v>44786.329861111109</v>
      </c>
      <c r="O17" s="5">
        <f>IF(ISBLANK(Distance),"",Open_time Control_1+(INT(Close)&amp;":"&amp;IF(ROUND(((Close-INT(Close))*60),0)&lt;10,0,"")&amp;ROUND(((Close-INT(Close))*60),0)))</f>
        <v>44786.457638888889</v>
      </c>
    </row>
    <row r="18" spans="2:17" ht="17" customHeight="1" x14ac:dyDescent="0.15">
      <c r="B18" s="82"/>
      <c r="C18" s="3" t="s">
        <v>10</v>
      </c>
      <c r="D18" s="26">
        <v>132.30000000000001</v>
      </c>
      <c r="E18" s="75" t="s">
        <v>99</v>
      </c>
      <c r="F18" s="76" t="s">
        <v>113</v>
      </c>
      <c r="G18" s="76" t="s">
        <v>100</v>
      </c>
      <c r="H18" s="76" t="s">
        <v>164</v>
      </c>
      <c r="I18" s="76" t="s">
        <v>165</v>
      </c>
      <c r="J18" s="76" t="s">
        <v>141</v>
      </c>
      <c r="K18" s="77"/>
      <c r="L18">
        <f t="shared" ref="L18:L24" si="1">IF(ISBLANK(Distance),"",IF(Distance&gt;1000,(Distance-1000)/26+33.0847,(IF(Distance&gt;600,(Distance-600)/28+18.799,(IF(Distance&gt;400,(Distance-400)/30+12.1324,(IF(Distance&gt;200,(Distance-200)/32+5.8824,Distance/34))))))))</f>
        <v>3.8911764705882357</v>
      </c>
      <c r="M18">
        <f t="shared" si="0"/>
        <v>8.82</v>
      </c>
      <c r="N18" s="5">
        <f>IF(ISBLANK(Distance),"",Open_time Control_1+(INT(Open)&amp;":"&amp;IF(ROUND(((Open-INT(Open))*60),0)&lt;10,0,"")&amp;ROUND(((Open-INT(Open))*60),0)))</f>
        <v>44786.390972222223</v>
      </c>
      <c r="O18" s="5">
        <f>IF(ISBLANK(Distance),"",Open_time Control_1+(INT(Close)&amp;":"&amp;IF(ROUND(((Close-INT(Close))*60),0)&lt;10,0,"")&amp;ROUND(((Close-INT(Close))*60),0)))</f>
        <v>44786.596527777772</v>
      </c>
    </row>
    <row r="19" spans="2:17" ht="17" customHeight="1" x14ac:dyDescent="0.2">
      <c r="B19" s="82"/>
      <c r="C19" s="3" t="s">
        <v>11</v>
      </c>
      <c r="D19" s="26">
        <v>195.8</v>
      </c>
      <c r="E19" s="75" t="s">
        <v>101</v>
      </c>
      <c r="F19" s="76" t="s">
        <v>113</v>
      </c>
      <c r="G19" s="76" t="s">
        <v>162</v>
      </c>
      <c r="H19" s="77" t="s">
        <v>163</v>
      </c>
      <c r="I19" s="77" t="s">
        <v>142</v>
      </c>
      <c r="J19" s="113" t="s">
        <v>143</v>
      </c>
      <c r="K19" s="77"/>
      <c r="L19">
        <f t="shared" si="1"/>
        <v>5.7588235294117647</v>
      </c>
      <c r="M19">
        <f t="shared" si="0"/>
        <v>13.053333333333335</v>
      </c>
      <c r="N19" s="5">
        <f>IF(ISBLANK(Distance),"",Open_time Control_1+(INT(Open)&amp;":"&amp;IF(ROUND(((Open-INT(Open))*60),0)&lt;10,0,"")&amp;ROUND(((Open-INT(Open))*60),0)))</f>
        <v>44786.469444444439</v>
      </c>
      <c r="O19" s="5">
        <f>IF(ISBLANK(Distance),"",Open_time Control_1+(INT(Close)&amp;":"&amp;IF(ROUND(((Close-INT(Close))*60),0)&lt;10,0,"")&amp;ROUND(((Close-INT(Close))*60),0)))</f>
        <v>44786.772916666661</v>
      </c>
      <c r="Q19" s="87"/>
    </row>
    <row r="20" spans="2:17" ht="17" customHeight="1" x14ac:dyDescent="0.15">
      <c r="B20" s="82"/>
      <c r="C20" s="3" t="s">
        <v>12</v>
      </c>
      <c r="D20" s="26">
        <v>228.6</v>
      </c>
      <c r="E20" s="75" t="s">
        <v>102</v>
      </c>
      <c r="F20" s="76" t="s">
        <v>114</v>
      </c>
      <c r="G20" s="76" t="s">
        <v>137</v>
      </c>
      <c r="H20" s="77" t="s">
        <v>103</v>
      </c>
      <c r="I20" s="76"/>
      <c r="J20" s="76"/>
      <c r="K20" s="77"/>
      <c r="L20">
        <f t="shared" si="1"/>
        <v>6.7761499999999995</v>
      </c>
      <c r="M20">
        <f t="shared" si="0"/>
        <v>15.24</v>
      </c>
      <c r="N20" s="5">
        <f>IF(ISBLANK(Distance),"",Open_time Control_1+(INT(Open)&amp;":"&amp;IF(ROUND(((Open-INT(Open))*60),0)&lt;10,0,"")&amp;ROUND(((Open-INT(Open))*60),0)))</f>
        <v>44786.51180555555</v>
      </c>
      <c r="O20" s="5">
        <f>IF(ISBLANK(Distance),"",Open_time Control_1+(INT(Close)&amp;":"&amp;IF(ROUND(((Close-INT(Close))*60),0)&lt;10,0,"")&amp;ROUND(((Close-INT(Close))*60),0)))</f>
        <v>44786.863888888889</v>
      </c>
    </row>
    <row r="21" spans="2:17" ht="17" customHeight="1" x14ac:dyDescent="0.15">
      <c r="B21" s="82"/>
      <c r="C21" s="3" t="s">
        <v>13</v>
      </c>
      <c r="D21" s="26">
        <v>324.39999999999998</v>
      </c>
      <c r="E21" s="75" t="s">
        <v>104</v>
      </c>
      <c r="F21" s="76" t="s">
        <v>113</v>
      </c>
      <c r="G21" s="76" t="s">
        <v>136</v>
      </c>
      <c r="H21" s="77" t="s">
        <v>105</v>
      </c>
      <c r="I21" s="76" t="s">
        <v>156</v>
      </c>
      <c r="J21" s="76"/>
      <c r="K21" s="77"/>
      <c r="L21">
        <f t="shared" si="1"/>
        <v>9.7698999999999998</v>
      </c>
      <c r="M21">
        <f t="shared" si="0"/>
        <v>21.626666666666665</v>
      </c>
      <c r="N21" s="5">
        <f>IF(ISBLANK(Distance),"",Open_time Control_1+(INT(Open)&amp;":"&amp;IF(ROUND(((Open-INT(Open))*60),0)&lt;10,0,"")&amp;ROUND(((Open-INT(Open))*60),0)))</f>
        <v>44786.636111111111</v>
      </c>
      <c r="O21" s="5">
        <f>IF(ISBLANK(Distance),"",Open_time Control_1+(INT(Close)&amp;":"&amp;IF(ROUND(((Close-INT(Close))*60),0)&lt;10,0,"")&amp;ROUND(((Close-INT(Close))*60),0)))</f>
        <v>44787.130555555552</v>
      </c>
    </row>
    <row r="22" spans="2:17" ht="17" customHeight="1" x14ac:dyDescent="0.15">
      <c r="B22" s="82"/>
      <c r="C22" s="3" t="s">
        <v>14</v>
      </c>
      <c r="D22" s="26">
        <v>367.3</v>
      </c>
      <c r="E22" s="75" t="s">
        <v>106</v>
      </c>
      <c r="F22" s="76" t="s">
        <v>114</v>
      </c>
      <c r="G22" s="76" t="s">
        <v>107</v>
      </c>
      <c r="H22" s="77" t="s">
        <v>108</v>
      </c>
      <c r="I22" s="76"/>
      <c r="J22" s="76"/>
      <c r="K22" s="77"/>
      <c r="L22">
        <f t="shared" si="1"/>
        <v>11.110524999999999</v>
      </c>
      <c r="M22">
        <f t="shared" si="0"/>
        <v>24.486666666666668</v>
      </c>
      <c r="N22" s="5">
        <f>IF(ISBLANK(Distance),"",Open_time Control_1+(INT(Open)&amp;":"&amp;IF(ROUND(((Open-INT(Open))*60),0)&lt;10,0,"")&amp;ROUND(((Open-INT(Open))*60),0)))</f>
        <v>44786.692361111105</v>
      </c>
      <c r="O22" s="5">
        <f>IF(ISBLANK(Distance),"",Open_time Control_1+(INT(Close)&amp;":"&amp;IF(ROUND(((Close-INT(Close))*60),0)&lt;10,0,"")&amp;ROUND(((Close-INT(Close))*60),0)))</f>
        <v>44787.249305555553</v>
      </c>
    </row>
    <row r="23" spans="2:17" ht="17" customHeight="1" x14ac:dyDescent="0.15">
      <c r="B23" s="82"/>
      <c r="C23" s="3" t="s">
        <v>15</v>
      </c>
      <c r="D23" s="26"/>
      <c r="E23" s="75" t="s">
        <v>109</v>
      </c>
      <c r="F23" s="76" t="s">
        <v>114</v>
      </c>
      <c r="G23" s="76"/>
      <c r="H23" s="77"/>
      <c r="I23" s="76"/>
      <c r="J23" s="76"/>
      <c r="K23" s="77"/>
      <c r="L23" t="str">
        <f t="shared" si="1"/>
        <v/>
      </c>
      <c r="M23" t="str">
        <f t="shared" si="0"/>
        <v/>
      </c>
      <c r="N23" s="5" t="str">
        <f>IF(ISBLANK(Distance),"",Open_time Control_1+(INT(Open)&amp;":"&amp;IF(ROUND(((Open-INT(Open))*60),0)&lt;10,0,"")&amp;ROUND(((Open-INT(Open))*60),0)))</f>
        <v/>
      </c>
      <c r="O23" s="5" t="str">
        <f>IF(ISBLANK(Distance),"",Open_time Control_1+(INT(Close)&amp;":"&amp;IF(ROUND(((Close-INT(Close))*60),0)&lt;10,0,"")&amp;ROUND(((Close-INT(Close))*60),0)))</f>
        <v/>
      </c>
    </row>
    <row r="24" spans="2:17" ht="17" customHeight="1" thickBot="1" x14ac:dyDescent="0.2">
      <c r="B24" s="82"/>
      <c r="C24" s="3" t="s">
        <v>16</v>
      </c>
      <c r="D24" s="52"/>
      <c r="E24" s="78"/>
      <c r="F24" s="79"/>
      <c r="G24" s="79"/>
      <c r="H24" s="80"/>
      <c r="I24" s="79"/>
      <c r="J24" s="79"/>
      <c r="K24" s="80"/>
      <c r="L24" t="str">
        <f t="shared" si="1"/>
        <v/>
      </c>
      <c r="M24" t="str">
        <f t="shared" si="0"/>
        <v/>
      </c>
      <c r="N24" s="5" t="str">
        <f>IF(ISBLANK(Distance),"",Open_time Control_1+(INT(Open)&amp;":"&amp;IF(ROUND(((Open-INT(Open))*60),0)&lt;10,0,"")&amp;ROUND(((Open-INT(Open))*60),0)))</f>
        <v/>
      </c>
      <c r="O24" s="5" t="str">
        <f>IF(ISBLANK(Distance),"",Open_time Control_1+(INT(Close)&amp;":"&amp;IF(ROUND(((Close-INT(Close))*60),0)&lt;10,0,"")&amp;ROUND(((Close-INT(Close))*60),0)))</f>
        <v/>
      </c>
    </row>
    <row r="25" spans="2:17" ht="7" customHeight="1" thickBot="1" x14ac:dyDescent="0.25">
      <c r="D25" s="65"/>
      <c r="E25" s="66"/>
      <c r="F25" s="67"/>
      <c r="G25" s="67"/>
      <c r="H25" s="67"/>
      <c r="I25" s="67"/>
      <c r="J25" s="67"/>
      <c r="K25" s="68"/>
      <c r="N25" s="5"/>
      <c r="O25" s="5"/>
    </row>
    <row r="26" spans="2:17" ht="14" thickBot="1" x14ac:dyDescent="0.2">
      <c r="D26" s="115" t="s">
        <v>77</v>
      </c>
      <c r="E26" s="116"/>
      <c r="F26" s="116"/>
      <c r="G26" s="116"/>
      <c r="H26" s="116"/>
      <c r="I26" s="124" t="s">
        <v>72</v>
      </c>
      <c r="J26" s="116"/>
      <c r="K26" s="117"/>
    </row>
    <row r="27" spans="2:17" ht="14" thickBot="1" x14ac:dyDescent="0.2">
      <c r="D27" s="6" t="s">
        <v>24</v>
      </c>
      <c r="E27" s="7" t="s">
        <v>25</v>
      </c>
      <c r="F27" s="63" t="s">
        <v>26</v>
      </c>
      <c r="G27" s="63" t="s">
        <v>27</v>
      </c>
      <c r="H27" s="64" t="s">
        <v>28</v>
      </c>
      <c r="I27" s="7" t="s">
        <v>60</v>
      </c>
      <c r="J27" s="7" t="s">
        <v>61</v>
      </c>
      <c r="K27" s="8" t="s">
        <v>62</v>
      </c>
      <c r="L27" t="s">
        <v>3</v>
      </c>
      <c r="M27" t="s">
        <v>4</v>
      </c>
      <c r="N27" t="s">
        <v>5</v>
      </c>
      <c r="O27" t="s">
        <v>6</v>
      </c>
    </row>
    <row r="28" spans="2:17" ht="17" customHeight="1" x14ac:dyDescent="0.15">
      <c r="D28" s="26">
        <f>D22</f>
        <v>367.3</v>
      </c>
      <c r="E28" s="75" t="s">
        <v>106</v>
      </c>
      <c r="F28" s="76" t="s">
        <v>114</v>
      </c>
      <c r="G28" s="76" t="s">
        <v>107</v>
      </c>
      <c r="H28" s="77" t="s">
        <v>108</v>
      </c>
      <c r="I28" s="76"/>
      <c r="J28" s="76"/>
      <c r="K28" s="77"/>
      <c r="L28">
        <f>IF(ISBLANK(D28),"",IF(D28&gt;1000,(D28-1000)/26+33.0847,(IF(D28&gt;600,(D28-600)/28+18.799,(IF(D28&gt;400,(D28-400)/30+12.1324,(IF(D28&gt;200,(D28-200)/32+5.8824,D28/34))))))))</f>
        <v>11.110524999999999</v>
      </c>
      <c r="M28">
        <f t="shared" ref="M28:M37" si="2">IF(ISBLANK(D28),"",IF((D28=0),1,IF(D28&gt;=brevet,IF(brevet&gt;1200,(brevet-1200)*75/1000+90,Max_time),IF(D28&gt;1200,(D28-1200)*75/1000+90,IF(D28&gt;1000,(D28-1000)/(1000/75)+75,IF(D28&gt;600,(D28-600)/(400/35)+40,IF(D28&lt;=60,D28/20+1,D28/15)))))))</f>
        <v>24.486666666666668</v>
      </c>
      <c r="N28" s="5">
        <f>IF(ISBLANK(D28),"",Open_time Control_1+(INT(L28)&amp;":"&amp;IF(ROUND(((L28-INT(L28))*60),0)&lt;10,0,"")&amp;ROUND(((L28-INT(L28))*60),0)))</f>
        <v>44786.692361111105</v>
      </c>
      <c r="O28" s="5">
        <f>IF(ISBLANK(D28),"",Open_time Control_1+(INT(M28)&amp;":"&amp;IF(ROUND(((M28-INT(M28))*60),0)&lt;10,0,"")&amp;ROUND(((M28-INT(M28))*60),0)))</f>
        <v>44787.249305555553</v>
      </c>
    </row>
    <row r="29" spans="2:17" ht="17" customHeight="1" x14ac:dyDescent="0.15">
      <c r="D29" s="26">
        <f>D$28+49.5</f>
        <v>416.8</v>
      </c>
      <c r="E29" s="75" t="s">
        <v>110</v>
      </c>
      <c r="F29" s="76" t="s">
        <v>113</v>
      </c>
      <c r="G29" s="76" t="s">
        <v>111</v>
      </c>
      <c r="H29" s="77" t="s">
        <v>112</v>
      </c>
      <c r="I29" s="76" t="s">
        <v>144</v>
      </c>
      <c r="J29" s="76" t="s">
        <v>145</v>
      </c>
      <c r="K29" s="77" t="s">
        <v>146</v>
      </c>
      <c r="L29">
        <f t="shared" ref="L29:L37" si="3">IF(ISBLANK(D29),"",IF(D29&gt;1000,(D29-1000)/26+33.0847,(IF(D29&gt;600,(D29-600)/28+18.799,(IF(D29&gt;400,(D29-400)/30+12.1324,(IF(D29&gt;200,(D29-200)/32+5.8824,D29/34))))))))</f>
        <v>12.692400000000001</v>
      </c>
      <c r="M29">
        <f t="shared" si="2"/>
        <v>27.786666666666669</v>
      </c>
      <c r="N29" s="5">
        <f>IF(ISBLANK(D29),"",Open_time Control_1+(INT(L29)&amp;":"&amp;IF(ROUND(((L29-INT(L29))*60),0)&lt;10,0,"")&amp;ROUND(((L29-INT(L29))*60),0)))</f>
        <v>44786.758333333331</v>
      </c>
      <c r="O29" s="5">
        <f>IF(ISBLANK(D29),"",Open_time Control_1+(INT(M29)&amp;":"&amp;IF(ROUND(((M29-INT(M29))*60),0)&lt;10,0,"")&amp;ROUND(((M29-INT(M29))*60),0)))</f>
        <v>44787.38680555555</v>
      </c>
    </row>
    <row r="30" spans="2:17" ht="17" customHeight="1" x14ac:dyDescent="0.15">
      <c r="D30" s="26">
        <v>494.2</v>
      </c>
      <c r="E30" s="75" t="s">
        <v>115</v>
      </c>
      <c r="F30" s="76" t="s">
        <v>113</v>
      </c>
      <c r="G30" s="77" t="s">
        <v>166</v>
      </c>
      <c r="H30" s="77" t="s">
        <v>168</v>
      </c>
      <c r="I30" s="76" t="s">
        <v>169</v>
      </c>
      <c r="J30" s="76"/>
      <c r="K30" s="77" t="s">
        <v>151</v>
      </c>
      <c r="L30">
        <f t="shared" si="3"/>
        <v>15.272400000000001</v>
      </c>
      <c r="M30">
        <f t="shared" si="2"/>
        <v>32.946666666666665</v>
      </c>
      <c r="N30" s="5">
        <f>IF(ISBLANK(D30),"",Open_time Control_1+(INT(L30)&amp;":"&amp;IF(ROUND(((L30-INT(L30))*60),0)&lt;10,0,"")&amp;ROUND(((L30-INT(L30))*60),0)))</f>
        <v>44786.865277777775</v>
      </c>
      <c r="O30" s="5">
        <f>IF(ISBLANK(D30),"",Open_time Control_1+(INT(M30)&amp;":"&amp;IF(ROUND(((M30-INT(M30))*60),0)&lt;10,0,"")&amp;ROUND(((M30-INT(M30))*60),0)))</f>
        <v>44787.602083333331</v>
      </c>
    </row>
    <row r="31" spans="2:17" ht="17" customHeight="1" x14ac:dyDescent="0.15">
      <c r="D31" s="26">
        <f>D28+153.7</f>
        <v>521</v>
      </c>
      <c r="E31" s="75" t="s">
        <v>138</v>
      </c>
      <c r="F31" s="76" t="s">
        <v>113</v>
      </c>
      <c r="G31" s="76" t="s">
        <v>139</v>
      </c>
      <c r="H31" s="77" t="s">
        <v>140</v>
      </c>
      <c r="I31" s="76" t="s">
        <v>147</v>
      </c>
      <c r="J31" s="76" t="s">
        <v>148</v>
      </c>
      <c r="K31" s="77" t="s">
        <v>146</v>
      </c>
      <c r="L31">
        <f t="shared" si="3"/>
        <v>16.165733333333336</v>
      </c>
      <c r="M31">
        <f t="shared" si="2"/>
        <v>34.733333333333334</v>
      </c>
      <c r="N31" s="5">
        <f>IF(ISBLANK(D31),"",Open_time Control_1+(INT(L31)&amp;":"&amp;IF(ROUND(((L31-INT(L31))*60),0)&lt;10,0,"")&amp;ROUND(((L31-INT(L31))*60),0)))</f>
        <v>44786.902777777774</v>
      </c>
      <c r="O31" s="5">
        <f>IF(ISBLANK(D31),"",Open_time Control_1+(INT(M31)&amp;":"&amp;IF(ROUND(((M31-INT(M31))*60),0)&lt;10,0,"")&amp;ROUND(((M31-INT(M31))*60),0)))</f>
        <v>44787.676388888889</v>
      </c>
    </row>
    <row r="32" spans="2:17" ht="17" customHeight="1" x14ac:dyDescent="0.15">
      <c r="D32" s="26">
        <v>570.70000000000005</v>
      </c>
      <c r="E32" s="75" t="s">
        <v>116</v>
      </c>
      <c r="F32" s="76" t="s">
        <v>114</v>
      </c>
      <c r="G32" s="76" t="s">
        <v>117</v>
      </c>
      <c r="H32" s="77" t="s">
        <v>118</v>
      </c>
      <c r="I32" s="76"/>
      <c r="J32" s="76"/>
      <c r="K32" s="77"/>
      <c r="L32">
        <f t="shared" si="3"/>
        <v>17.822400000000002</v>
      </c>
      <c r="M32">
        <f t="shared" si="2"/>
        <v>38.046666666666667</v>
      </c>
      <c r="N32" s="5">
        <f>IF(ISBLANK(D32),"",Open_time Control_1+(INT(L32)&amp;":"&amp;IF(ROUND(((L32-INT(L32))*60),0)&lt;10,0,"")&amp;ROUND(((L32-INT(L32))*60),0)))</f>
        <v>44786.971527777772</v>
      </c>
      <c r="O32" s="5">
        <f>IF(ISBLANK(D32),"",Open_time Control_1+(INT(M32)&amp;":"&amp;IF(ROUND(((M32-INT(M32))*60),0)&lt;10,0,"")&amp;ROUND(((M32-INT(M32))*60),0)))</f>
        <v>44787.814583333333</v>
      </c>
    </row>
    <row r="33" spans="4:15" ht="17" customHeight="1" x14ac:dyDescent="0.15">
      <c r="D33" s="26">
        <v>639.70000000000005</v>
      </c>
      <c r="E33" s="75" t="s">
        <v>119</v>
      </c>
      <c r="F33" s="76" t="s">
        <v>113</v>
      </c>
      <c r="G33" s="76" t="s">
        <v>120</v>
      </c>
      <c r="H33" s="77" t="s">
        <v>121</v>
      </c>
      <c r="I33" s="76" t="s">
        <v>149</v>
      </c>
      <c r="J33" s="76" t="s">
        <v>167</v>
      </c>
      <c r="K33" s="77" t="s">
        <v>150</v>
      </c>
      <c r="L33">
        <f t="shared" si="3"/>
        <v>20.216857142857144</v>
      </c>
      <c r="M33">
        <f t="shared" si="2"/>
        <v>43.473750000000003</v>
      </c>
      <c r="N33" s="5">
        <f>IF(ISBLANK(D33),"",Open_time Control_1+(INT(L33)&amp;":"&amp;IF(ROUND(((L33-INT(L33))*60),0)&lt;10,0,"")&amp;ROUND(((L33-INT(L33))*60),0)))</f>
        <v>44787.071527777778</v>
      </c>
      <c r="O33" s="5">
        <f>IF(ISBLANK(D33),"",Open_time Control_1+(INT(M33)&amp;":"&amp;IF(ROUND(((M33-INT(M33))*60),0)&lt;10,0,"")&amp;ROUND(((M33-INT(M33))*60),0)))</f>
        <v>44788.040277777778</v>
      </c>
    </row>
    <row r="34" spans="4:15" ht="17" customHeight="1" x14ac:dyDescent="0.15">
      <c r="D34" s="26">
        <v>727.1</v>
      </c>
      <c r="E34" s="75" t="s">
        <v>106</v>
      </c>
      <c r="F34" s="76" t="s">
        <v>114</v>
      </c>
      <c r="G34" s="76" t="s">
        <v>107</v>
      </c>
      <c r="H34" s="77" t="s">
        <v>108</v>
      </c>
      <c r="I34" s="76"/>
      <c r="J34" s="76"/>
      <c r="K34" s="77"/>
      <c r="L34">
        <f t="shared" si="3"/>
        <v>23.338285714285714</v>
      </c>
      <c r="M34">
        <f t="shared" si="2"/>
        <v>51.121250000000003</v>
      </c>
      <c r="N34" s="5">
        <f>IF(ISBLANK(D34),"",Open_time Control_1+(INT(L34)&amp;":"&amp;IF(ROUND(((L34-INT(L34))*60),0)&lt;10,0,"")&amp;ROUND(((L34-INT(L34))*60),0)))</f>
        <v>44787.201388888883</v>
      </c>
      <c r="O34" s="5">
        <f>IF(ISBLANK(D34),"",Open_time Control_1+(INT(M34)&amp;":"&amp;IF(ROUND(((M34-INT(M34))*60),0)&lt;10,0,"")&amp;ROUND(((M34-INT(M34))*60),0)))</f>
        <v>44788.359027777777</v>
      </c>
    </row>
    <row r="35" spans="4:15" ht="17" customHeight="1" x14ac:dyDescent="0.15">
      <c r="D35" s="26"/>
      <c r="E35" s="75"/>
      <c r="F35" s="76"/>
      <c r="G35" s="76"/>
      <c r="H35" s="77"/>
      <c r="I35" s="76"/>
      <c r="J35" s="76"/>
      <c r="K35" s="77"/>
      <c r="L35" t="str">
        <f t="shared" si="3"/>
        <v/>
      </c>
      <c r="M35" t="str">
        <f t="shared" si="2"/>
        <v/>
      </c>
      <c r="N35" s="5" t="str">
        <f>IF(ISBLANK(D35),"",Open_time Control_1+(INT(L35)&amp;":"&amp;IF(ROUND(((L35-INT(L35))*60),0)&lt;10,0,"")&amp;ROUND(((L35-INT(L35))*60),0)))</f>
        <v/>
      </c>
      <c r="O35" s="5" t="str">
        <f>IF(ISBLANK(D35),"",Open_time Control_1+(INT(M35)&amp;":"&amp;IF(ROUND(((M35-INT(M35))*60),0)&lt;10,0,"")&amp;ROUND(((M35-INT(M35))*60),0)))</f>
        <v/>
      </c>
    </row>
    <row r="36" spans="4:15" ht="17" customHeight="1" x14ac:dyDescent="0.15">
      <c r="D36" s="26"/>
      <c r="E36" s="75" t="s">
        <v>109</v>
      </c>
      <c r="F36" s="76" t="s">
        <v>114</v>
      </c>
      <c r="G36" s="76"/>
      <c r="H36" s="77"/>
      <c r="I36" s="76"/>
      <c r="J36" s="76"/>
      <c r="K36" s="77"/>
      <c r="L36" t="str">
        <f t="shared" si="3"/>
        <v/>
      </c>
      <c r="M36" t="str">
        <f t="shared" si="2"/>
        <v/>
      </c>
      <c r="N36" s="5" t="str">
        <f>IF(ISBLANK(D36),"",Open_time Control_1+(INT(L36)&amp;":"&amp;IF(ROUND(((L36-INT(L36))*60),0)&lt;10,0,"")&amp;ROUND(((L36-INT(L36))*60),0)))</f>
        <v/>
      </c>
      <c r="O36" s="5" t="str">
        <f>IF(ISBLANK(D36),"",Open_time Control_1+(INT(M36)&amp;":"&amp;IF(ROUND(((M36-INT(M36))*60),0)&lt;10,0,"")&amp;ROUND(((M36-INT(M36))*60),0)))</f>
        <v/>
      </c>
    </row>
    <row r="37" spans="4:15" ht="17" customHeight="1" thickBot="1" x14ac:dyDescent="0.2">
      <c r="D37" s="52"/>
      <c r="E37" s="78"/>
      <c r="F37" s="79"/>
      <c r="G37" s="79"/>
      <c r="H37" s="80"/>
      <c r="I37" s="79"/>
      <c r="J37" s="79"/>
      <c r="K37" s="80"/>
      <c r="L37" t="str">
        <f t="shared" si="3"/>
        <v/>
      </c>
      <c r="M37" t="str">
        <f t="shared" si="2"/>
        <v/>
      </c>
      <c r="N37" s="5" t="str">
        <f>IF(ISBLANK(D37),"",Open_time Control_1+(INT(L37)&amp;":"&amp;IF(ROUND(((L37-INT(L37))*60),0)&lt;10,0,"")&amp;ROUND(((L37-INT(L37))*60),0)))</f>
        <v/>
      </c>
      <c r="O37" s="5" t="str">
        <f>IF(ISBLANK(D37),"",Open_time Control_1+(INT(M37)&amp;":"&amp;IF(ROUND(((M37-INT(M37))*60),0)&lt;10,0,"")&amp;ROUND(((M37-INT(M37))*60),0)))</f>
        <v/>
      </c>
    </row>
    <row r="38" spans="4:15" ht="7" customHeight="1" thickBot="1" x14ac:dyDescent="0.25">
      <c r="D38" s="65"/>
      <c r="E38" s="66"/>
      <c r="F38" s="67"/>
      <c r="G38" s="67"/>
      <c r="H38" s="67"/>
      <c r="I38" s="67"/>
      <c r="J38" s="67"/>
      <c r="K38" s="68"/>
      <c r="N38" s="5"/>
      <c r="O38" s="5"/>
    </row>
    <row r="39" spans="4:15" ht="14" thickBot="1" x14ac:dyDescent="0.2">
      <c r="D39" s="115" t="s">
        <v>79</v>
      </c>
      <c r="E39" s="116"/>
      <c r="F39" s="116"/>
      <c r="G39" s="116"/>
      <c r="H39" s="116"/>
      <c r="I39" s="115" t="s">
        <v>78</v>
      </c>
      <c r="J39" s="116"/>
      <c r="K39" s="117"/>
    </row>
    <row r="40" spans="4:15" ht="14" thickBot="1" x14ac:dyDescent="0.2">
      <c r="D40" s="6" t="s">
        <v>24</v>
      </c>
      <c r="E40" s="7" t="s">
        <v>25</v>
      </c>
      <c r="F40" s="63" t="s">
        <v>26</v>
      </c>
      <c r="G40" s="63" t="s">
        <v>27</v>
      </c>
      <c r="H40" s="88" t="s">
        <v>28</v>
      </c>
      <c r="I40" s="7" t="s">
        <v>60</v>
      </c>
      <c r="J40" s="7" t="s">
        <v>61</v>
      </c>
      <c r="K40" s="8" t="s">
        <v>62</v>
      </c>
      <c r="L40" t="s">
        <v>3</v>
      </c>
      <c r="M40" t="s">
        <v>4</v>
      </c>
      <c r="N40" t="s">
        <v>5</v>
      </c>
      <c r="O40" t="s">
        <v>6</v>
      </c>
    </row>
    <row r="41" spans="4:15" ht="17" customHeight="1" x14ac:dyDescent="0.15">
      <c r="D41" s="26">
        <f>D34</f>
        <v>727.1</v>
      </c>
      <c r="E41" s="75" t="s">
        <v>106</v>
      </c>
      <c r="F41" s="76" t="s">
        <v>114</v>
      </c>
      <c r="G41" s="76" t="s">
        <v>107</v>
      </c>
      <c r="H41" s="77" t="s">
        <v>108</v>
      </c>
      <c r="I41" s="76"/>
      <c r="J41" s="76"/>
      <c r="K41" s="77"/>
      <c r="L41">
        <f>IF(ISBLANK(D41),"",IF(D41&gt;1000,(D41-1000)/26+33.0847,(IF(D41&gt;600,(D41-600)/28+18.799,(IF(D41&gt;400,(D41-400)/30+12.1324,(IF(D41&gt;200,(D41-200)/32+5.8824,D41/34))))))))</f>
        <v>23.338285714285714</v>
      </c>
      <c r="M41">
        <f t="shared" ref="M41:M50" si="4">IF(ISBLANK(D41),"",IF((D41=0),1,IF(D41&gt;=brevet,IF(brevet&gt;1200,(brevet-1200)*75/1000+90,Max_time),IF(D41&gt;1200,(D41-1200)*75/1000+90,IF(D41&gt;1000,(D41-1000)/(1000/75)+75,IF(D41&gt;600,(D41-600)/(400/35)+40,IF(D41&lt;=60,D41/20+1,D41/15)))))))</f>
        <v>51.121250000000003</v>
      </c>
      <c r="N41" s="5">
        <f>IF(ISBLANK(D41),"",Open_time Control_1+(INT(L41)&amp;":"&amp;IF(ROUND(((L41-INT(L41))*60),0)&lt;10,0,"")&amp;ROUND(((L41-INT(L41))*60),0)))</f>
        <v>44787.201388888883</v>
      </c>
      <c r="O41" s="5">
        <f>IF(ISBLANK(D41),"",Open_time Control_1+(INT(M41)&amp;":"&amp;IF(ROUND(((M41-INT(M41))*60),0)&lt;10,0,"")&amp;ROUND(((M41-INT(M41))*60),0)))</f>
        <v>44788.359027777777</v>
      </c>
    </row>
    <row r="42" spans="4:15" ht="17" customHeight="1" x14ac:dyDescent="0.15">
      <c r="D42" s="26">
        <v>818</v>
      </c>
      <c r="E42" s="75" t="s">
        <v>122</v>
      </c>
      <c r="F42" s="76" t="s">
        <v>113</v>
      </c>
      <c r="G42" s="76" t="s">
        <v>123</v>
      </c>
      <c r="H42" s="77" t="s">
        <v>124</v>
      </c>
      <c r="I42" s="76" t="s">
        <v>152</v>
      </c>
      <c r="J42" s="76" t="s">
        <v>153</v>
      </c>
      <c r="K42" s="77"/>
      <c r="L42">
        <f t="shared" ref="L42:L50" si="5">IF(ISBLANK(D42),"",IF(D42&gt;1000,(D42-1000)/26+33.0847,(IF(D42&gt;600,(D42-600)/28+18.799,(IF(D42&gt;400,(D42-400)/30+12.1324,(IF(D42&gt;200,(D42-200)/32+5.8824,D42/34))))))))</f>
        <v>26.584714285714284</v>
      </c>
      <c r="M42">
        <f t="shared" si="4"/>
        <v>59.075000000000003</v>
      </c>
      <c r="N42" s="5">
        <f>IF(ISBLANK(D42),"",Open_time Control_1+(INT(L42)&amp;":"&amp;IF(ROUND(((L42-INT(L42))*60),0)&lt;10,0,"")&amp;ROUND(((L42-INT(L42))*60),0)))</f>
        <v>44787.336805555555</v>
      </c>
      <c r="O42" s="5">
        <f>IF(ISBLANK(D42),"",Open_time Control_1+(INT(M42)&amp;":"&amp;IF(ROUND(((M42-INT(M42))*60),0)&lt;10,0,"")&amp;ROUND(((M42-INT(M42))*60),0)))</f>
        <v>44788.690972222219</v>
      </c>
    </row>
    <row r="43" spans="4:15" ht="17" customHeight="1" x14ac:dyDescent="0.15">
      <c r="D43" s="26">
        <f>D42</f>
        <v>818</v>
      </c>
      <c r="E43" s="75" t="s">
        <v>125</v>
      </c>
      <c r="F43" s="76" t="s">
        <v>127</v>
      </c>
      <c r="G43" s="76" t="s">
        <v>123</v>
      </c>
      <c r="H43" s="77" t="s">
        <v>126</v>
      </c>
      <c r="I43" s="76"/>
      <c r="J43" s="76"/>
      <c r="K43" s="77"/>
      <c r="L43">
        <f t="shared" si="5"/>
        <v>26.584714285714284</v>
      </c>
      <c r="M43">
        <f t="shared" si="4"/>
        <v>59.075000000000003</v>
      </c>
      <c r="N43" s="5">
        <f>IF(ISBLANK(D43),"",Open_time Control_1+(INT(L43)&amp;":"&amp;IF(ROUND(((L43-INT(L43))*60),0)&lt;10,0,"")&amp;ROUND(((L43-INT(L43))*60),0)))</f>
        <v>44787.336805555555</v>
      </c>
      <c r="O43" s="5">
        <f>IF(ISBLANK(D43),"",Open_time Control_1+(INT(M43)&amp;":"&amp;IF(ROUND(((M43-INT(M43))*60),0)&lt;10,0,"")&amp;ROUND(((M43-INT(M43))*60),0)))</f>
        <v>44788.690972222219</v>
      </c>
    </row>
    <row r="44" spans="4:15" ht="17" customHeight="1" x14ac:dyDescent="0.15">
      <c r="D44" s="26">
        <f>D43+20.2</f>
        <v>838.2</v>
      </c>
      <c r="E44" s="75" t="s">
        <v>128</v>
      </c>
      <c r="F44" s="76" t="s">
        <v>113</v>
      </c>
      <c r="G44" s="76" t="s">
        <v>159</v>
      </c>
      <c r="H44" s="77" t="s">
        <v>160</v>
      </c>
      <c r="I44" s="76" t="s">
        <v>170</v>
      </c>
      <c r="J44" s="76" t="s">
        <v>171</v>
      </c>
      <c r="K44" s="77" t="s">
        <v>172</v>
      </c>
      <c r="L44">
        <f t="shared" si="5"/>
        <v>27.306142857142859</v>
      </c>
      <c r="M44">
        <f t="shared" si="4"/>
        <v>60.842500000000001</v>
      </c>
      <c r="N44" s="5">
        <f>IF(ISBLANK(D44),"",Open_time Control_1+(INT(L44)&amp;":"&amp;IF(ROUND(((L44-INT(L44))*60),0)&lt;10,0,"")&amp;ROUND(((L44-INT(L44))*60),0)))</f>
        <v>44787.366666666661</v>
      </c>
      <c r="O44" s="5">
        <f>IF(ISBLANK(D44),"",Open_time Control_1+(INT(M44)&amp;":"&amp;IF(ROUND(((M44-INT(M44))*60),0)&lt;10,0,"")&amp;ROUND(((M44-INT(M44))*60),0)))</f>
        <v>44788.76458333333</v>
      </c>
    </row>
    <row r="45" spans="4:15" ht="17" customHeight="1" x14ac:dyDescent="0.15">
      <c r="D45" s="26">
        <v>936.5</v>
      </c>
      <c r="E45" s="75" t="s">
        <v>130</v>
      </c>
      <c r="F45" s="76" t="s">
        <v>113</v>
      </c>
      <c r="G45" s="76" t="s">
        <v>158</v>
      </c>
      <c r="H45" s="77" t="s">
        <v>131</v>
      </c>
      <c r="I45" s="76" t="s">
        <v>155</v>
      </c>
      <c r="J45" s="76" t="s">
        <v>154</v>
      </c>
      <c r="K45" s="77"/>
      <c r="L45">
        <f t="shared" si="5"/>
        <v>30.816857142857142</v>
      </c>
      <c r="M45">
        <f t="shared" si="4"/>
        <v>69.443749999999994</v>
      </c>
      <c r="N45" s="5">
        <f>IF(ISBLANK(D45),"",Open_time Control_1+(INT(L45)&amp;":"&amp;IF(ROUND(((L45-INT(L45))*60),0)&lt;10,0,"")&amp;ROUND(((L45-INT(L45))*60),0)))</f>
        <v>44787.513194444444</v>
      </c>
      <c r="O45" s="5">
        <f>IF(ISBLANK(D45),"",Open_time Control_1+(INT(M45)&amp;":"&amp;IF(ROUND(((M45-INT(M45))*60),0)&lt;10,0,"")&amp;ROUND(((M45-INT(M45))*60),0)))</f>
        <v>44789.122916666667</v>
      </c>
    </row>
    <row r="46" spans="4:15" ht="17" customHeight="1" x14ac:dyDescent="0.15">
      <c r="D46" s="26">
        <v>968.6</v>
      </c>
      <c r="E46" s="75" t="s">
        <v>132</v>
      </c>
      <c r="F46" s="76" t="s">
        <v>113</v>
      </c>
      <c r="G46" s="76" t="s">
        <v>161</v>
      </c>
      <c r="H46" s="77" t="s">
        <v>133</v>
      </c>
      <c r="I46" s="76" t="s">
        <v>173</v>
      </c>
      <c r="J46" s="76" t="s">
        <v>174</v>
      </c>
      <c r="K46" s="77"/>
      <c r="L46">
        <f t="shared" si="5"/>
        <v>31.963285714285714</v>
      </c>
      <c r="M46">
        <f t="shared" si="4"/>
        <v>72.252499999999998</v>
      </c>
      <c r="N46" s="5">
        <f>IF(ISBLANK(D46),"",Open_time Control_1+(INT(L46)&amp;":"&amp;IF(ROUND(((L46-INT(L46))*60),0)&lt;10,0,"")&amp;ROUND(((L46-INT(L46))*60),0)))</f>
        <v>44787.561111111107</v>
      </c>
      <c r="O46" s="5">
        <f>IF(ISBLANK(D46),"",Open_time Control_1+(INT(M46)&amp;":"&amp;IF(ROUND(((M46-INT(M46))*60),0)&lt;10,0,"")&amp;ROUND(((M46-INT(M46))*60),0)))</f>
        <v>44789.239583333328</v>
      </c>
    </row>
    <row r="47" spans="4:15" ht="17" customHeight="1" x14ac:dyDescent="0.15">
      <c r="D47" s="26">
        <v>1002</v>
      </c>
      <c r="E47" s="75" t="s">
        <v>96</v>
      </c>
      <c r="F47" s="76" t="s">
        <v>114</v>
      </c>
      <c r="G47" s="76" t="s">
        <v>91</v>
      </c>
      <c r="H47" s="77" t="s">
        <v>92</v>
      </c>
      <c r="I47" s="76"/>
      <c r="J47" s="76"/>
      <c r="K47" s="77"/>
      <c r="L47">
        <f t="shared" si="5"/>
        <v>33.161623076923078</v>
      </c>
      <c r="M47">
        <f t="shared" si="4"/>
        <v>75</v>
      </c>
      <c r="N47" s="5">
        <f>IF(ISBLANK(D47),"",Open_time Control_1+(INT(L47)&amp;":"&amp;IF(ROUND(((L47-INT(L47))*60),0)&lt;10,0,"")&amp;ROUND(((L47-INT(L47))*60),0)))</f>
        <v>44787.611111111109</v>
      </c>
      <c r="O47" s="5">
        <f>IF(ISBLANK(D47),"",Open_time Control_1+(INT(M47)&amp;":"&amp;IF(ROUND(((M47-INT(M47))*60),0)&lt;10,0,"")&amp;ROUND(((M47-INT(M47))*60),0)))</f>
        <v>44789.354166666664</v>
      </c>
    </row>
    <row r="48" spans="4:15" ht="17" customHeight="1" x14ac:dyDescent="0.15">
      <c r="D48" s="26"/>
      <c r="E48" s="75"/>
      <c r="F48" s="76"/>
      <c r="G48" s="76"/>
      <c r="H48" s="77"/>
      <c r="I48" s="76"/>
      <c r="J48" s="76"/>
      <c r="K48" s="77"/>
      <c r="L48" t="str">
        <f t="shared" si="5"/>
        <v/>
      </c>
      <c r="M48" t="str">
        <f t="shared" si="4"/>
        <v/>
      </c>
      <c r="N48" s="5" t="str">
        <f>IF(ISBLANK(D48),"",Open_time Control_1+(INT(L48)&amp;":"&amp;IF(ROUND(((L48-INT(L48))*60),0)&lt;10,0,"")&amp;ROUND(((L48-INT(L48))*60),0)))</f>
        <v/>
      </c>
      <c r="O48" s="5" t="str">
        <f>IF(ISBLANK(D48),"",Open_time Control_1+(INT(M48)&amp;":"&amp;IF(ROUND(((M48-INT(M48))*60),0)&lt;10,0,"")&amp;ROUND(((M48-INT(M48))*60),0)))</f>
        <v/>
      </c>
    </row>
    <row r="49" spans="4:15" ht="17" customHeight="1" x14ac:dyDescent="0.15">
      <c r="D49" s="26"/>
      <c r="E49" s="75" t="s">
        <v>109</v>
      </c>
      <c r="F49" s="76" t="s">
        <v>114</v>
      </c>
      <c r="G49" s="76"/>
      <c r="H49" s="77"/>
      <c r="I49" s="76"/>
      <c r="J49" s="76"/>
      <c r="K49" s="77"/>
      <c r="L49" t="str">
        <f t="shared" si="5"/>
        <v/>
      </c>
      <c r="M49" t="str">
        <f t="shared" si="4"/>
        <v/>
      </c>
      <c r="N49" s="5" t="str">
        <f>IF(ISBLANK(D49),"",Open_time Control_1+(INT(L49)&amp;":"&amp;IF(ROUND(((L49-INT(L49))*60),0)&lt;10,0,"")&amp;ROUND(((L49-INT(L49))*60),0)))</f>
        <v/>
      </c>
      <c r="O49" s="5" t="str">
        <f>IF(ISBLANK(D49),"",Open_time Control_1+(INT(M49)&amp;":"&amp;IF(ROUND(((M49-INT(M49))*60),0)&lt;10,0,"")&amp;ROUND(((M49-INT(M49))*60),0)))</f>
        <v/>
      </c>
    </row>
    <row r="50" spans="4:15" ht="17" customHeight="1" thickBot="1" x14ac:dyDescent="0.2">
      <c r="D50" s="52"/>
      <c r="E50" s="78"/>
      <c r="F50" s="79"/>
      <c r="G50" s="79"/>
      <c r="H50" s="80"/>
      <c r="I50" s="79"/>
      <c r="J50" s="79"/>
      <c r="K50" s="80"/>
      <c r="L50" t="str">
        <f t="shared" si="5"/>
        <v/>
      </c>
      <c r="M50" t="str">
        <f t="shared" si="4"/>
        <v/>
      </c>
      <c r="N50" s="5" t="str">
        <f>IF(ISBLANK(D50),"",Open_time Control_1+(INT(L50)&amp;":"&amp;IF(ROUND(((L50-INT(L50))*60),0)&lt;10,0,"")&amp;ROUND(((L50-INT(L50))*60),0)))</f>
        <v/>
      </c>
      <c r="O50" s="5" t="str">
        <f>IF(ISBLANK(D50),"",Open_time Control_1+(INT(M50)&amp;":"&amp;IF(ROUND(((M50-INT(M50))*60),0)&lt;10,0,"")&amp;ROUND(((M50-INT(M50))*60),0)))</f>
        <v/>
      </c>
    </row>
    <row r="51" spans="4:15" ht="7" customHeight="1" thickBot="1" x14ac:dyDescent="0.25">
      <c r="D51" s="65"/>
      <c r="E51" s="66"/>
      <c r="F51" s="67"/>
      <c r="G51" s="67"/>
      <c r="H51" s="67"/>
      <c r="I51" s="67"/>
      <c r="J51" s="67"/>
      <c r="K51" s="68"/>
      <c r="N51" s="5"/>
      <c r="O51" s="5"/>
    </row>
    <row r="52" spans="4:15" ht="14" thickBot="1" x14ac:dyDescent="0.2">
      <c r="D52" s="115" t="s">
        <v>87</v>
      </c>
      <c r="E52" s="116"/>
      <c r="F52" s="116"/>
      <c r="G52" s="116"/>
      <c r="H52" s="116"/>
      <c r="I52" s="115" t="s">
        <v>88</v>
      </c>
      <c r="J52" s="116"/>
      <c r="K52" s="117"/>
    </row>
    <row r="53" spans="4:15" ht="14" thickBot="1" x14ac:dyDescent="0.2">
      <c r="D53" s="6" t="s">
        <v>24</v>
      </c>
      <c r="E53" s="7" t="s">
        <v>25</v>
      </c>
      <c r="F53" s="63" t="s">
        <v>26</v>
      </c>
      <c r="G53" s="63" t="s">
        <v>27</v>
      </c>
      <c r="H53" s="88" t="s">
        <v>28</v>
      </c>
      <c r="I53" s="7" t="s">
        <v>60</v>
      </c>
      <c r="J53" s="7" t="s">
        <v>61</v>
      </c>
      <c r="K53" s="8" t="s">
        <v>62</v>
      </c>
      <c r="L53" t="s">
        <v>3</v>
      </c>
      <c r="M53" t="s">
        <v>4</v>
      </c>
      <c r="N53" t="s">
        <v>5</v>
      </c>
      <c r="O53" t="s">
        <v>6</v>
      </c>
    </row>
    <row r="54" spans="4:15" ht="17" customHeight="1" x14ac:dyDescent="0.15">
      <c r="D54" s="26">
        <f>D41</f>
        <v>727.1</v>
      </c>
      <c r="E54" s="75" t="s">
        <v>106</v>
      </c>
      <c r="F54" s="76" t="s">
        <v>114</v>
      </c>
      <c r="G54" s="76" t="s">
        <v>107</v>
      </c>
      <c r="H54" s="77" t="s">
        <v>108</v>
      </c>
      <c r="I54" s="76"/>
      <c r="J54" s="76"/>
      <c r="K54" s="77"/>
      <c r="L54">
        <f>IF(ISBLANK(D54),"",IF(D54&gt;1000,(D54-1000)/26+33.0847,(IF(D54&gt;600,(D54-600)/28+18.799,(IF(D54&gt;400,(D54-400)/30+12.1324,(IF(D54&gt;200,(D54-200)/32+5.8824,D54/34))))))))</f>
        <v>23.338285714285714</v>
      </c>
      <c r="M54">
        <f t="shared" ref="M54:M63" si="6">IF(ISBLANK(D54),"",IF((D54=0),1,IF(D54&gt;=brevet,IF(brevet&gt;1200,(brevet-1200)*75/1000+90,Max_time),IF(D54&gt;1200,(D54-1200)*75/1000+90,IF(D54&gt;1000,(D54-1000)/(1000/75)+75,IF(D54&gt;600,(D54-600)/(400/35)+40,IF(D54&lt;=60,D54/20+1,D54/15)))))))</f>
        <v>51.121250000000003</v>
      </c>
      <c r="N54" s="5">
        <f>IF(ISBLANK(D54),"",Open_time Control_1+(INT(L54)&amp;":"&amp;IF(ROUND(((L54-INT(L54))*60),0)&lt;10,0,"")&amp;ROUND(((L54-INT(L54))*60),0)))</f>
        <v>44787.201388888883</v>
      </c>
      <c r="O54" s="5">
        <f>IF(ISBLANK(D54),"",Open_time Control_1+(INT(M54)&amp;":"&amp;IF(ROUND(((M54-INT(M54))*60),0)&lt;10,0,"")&amp;ROUND(((M54-INT(M54))*60),0)))</f>
        <v>44788.359027777777</v>
      </c>
    </row>
    <row r="55" spans="4:15" ht="17" customHeight="1" x14ac:dyDescent="0.15">
      <c r="D55" s="26">
        <v>818</v>
      </c>
      <c r="E55" s="75" t="s">
        <v>122</v>
      </c>
      <c r="F55" s="76" t="s">
        <v>113</v>
      </c>
      <c r="G55" s="76" t="s">
        <v>123</v>
      </c>
      <c r="H55" s="77" t="s">
        <v>124</v>
      </c>
      <c r="I55" s="76" t="s">
        <v>152</v>
      </c>
      <c r="J55" s="76" t="s">
        <v>153</v>
      </c>
      <c r="K55" s="77"/>
      <c r="L55">
        <f t="shared" ref="L55:L63" si="7">IF(ISBLANK(D55),"",IF(D55&gt;1000,(D55-1000)/26+33.0847,(IF(D55&gt;600,(D55-600)/28+18.799,(IF(D55&gt;400,(D55-400)/30+12.1324,(IF(D55&gt;200,(D55-200)/32+5.8824,D55/34))))))))</f>
        <v>26.584714285714284</v>
      </c>
      <c r="M55">
        <f t="shared" si="6"/>
        <v>59.075000000000003</v>
      </c>
      <c r="N55" s="5">
        <f>IF(ISBLANK(D55),"",Open_time Control_1+(INT(L55)&amp;":"&amp;IF(ROUND(((L55-INT(L55))*60),0)&lt;10,0,"")&amp;ROUND(((L55-INT(L55))*60),0)))</f>
        <v>44787.336805555555</v>
      </c>
      <c r="O55" s="5">
        <f>IF(ISBLANK(D55),"",Open_time Control_1+(INT(M55)&amp;":"&amp;IF(ROUND(((M55-INT(M55))*60),0)&lt;10,0,"")&amp;ROUND(((M55-INT(M55))*60),0)))</f>
        <v>44788.690972222219</v>
      </c>
    </row>
    <row r="56" spans="4:15" ht="17" customHeight="1" x14ac:dyDescent="0.15">
      <c r="D56" s="26">
        <v>855.3</v>
      </c>
      <c r="E56" s="75" t="s">
        <v>130</v>
      </c>
      <c r="F56" s="76" t="s">
        <v>113</v>
      </c>
      <c r="G56" s="76" t="s">
        <v>158</v>
      </c>
      <c r="H56" s="77" t="s">
        <v>131</v>
      </c>
      <c r="I56" s="76" t="s">
        <v>155</v>
      </c>
      <c r="J56" s="76" t="s">
        <v>154</v>
      </c>
      <c r="K56" s="77"/>
      <c r="L56">
        <f t="shared" si="7"/>
        <v>27.91685714285714</v>
      </c>
      <c r="M56">
        <f t="shared" si="6"/>
        <v>62.33874999999999</v>
      </c>
      <c r="N56" s="5">
        <f>IF(ISBLANK(D56),"",Open_time Control_1+(INT(L56)&amp;":"&amp;IF(ROUND(((L56-INT(L56))*60),0)&lt;10,0,"")&amp;ROUND(((L56-INT(L56))*60),0)))</f>
        <v>44787.392361111109</v>
      </c>
      <c r="O56" s="5">
        <f>IF(ISBLANK(D56),"",Open_time Control_1+(INT(M56)&amp;":"&amp;IF(ROUND(((M56-INT(M56))*60),0)&lt;10,0,"")&amp;ROUND(((M56-INT(M56))*60),0)))</f>
        <v>44788.826388888883</v>
      </c>
    </row>
    <row r="57" spans="4:15" ht="17" customHeight="1" x14ac:dyDescent="0.15">
      <c r="D57" s="26">
        <v>887.3</v>
      </c>
      <c r="E57" s="75" t="s">
        <v>132</v>
      </c>
      <c r="F57" s="76" t="s">
        <v>113</v>
      </c>
      <c r="G57" s="76" t="s">
        <v>161</v>
      </c>
      <c r="H57" s="77" t="s">
        <v>133</v>
      </c>
      <c r="I57" s="76" t="s">
        <v>173</v>
      </c>
      <c r="J57" s="76" t="s">
        <v>174</v>
      </c>
      <c r="K57" s="77"/>
      <c r="L57">
        <f t="shared" si="7"/>
        <v>29.059714285714286</v>
      </c>
      <c r="M57">
        <f t="shared" si="6"/>
        <v>65.138749999999987</v>
      </c>
      <c r="N57" s="5">
        <f>IF(ISBLANK(D57),"",Open_time Control_1+(INT(L57)&amp;":"&amp;IF(ROUND(((L57-INT(L57))*60),0)&lt;10,0,"")&amp;ROUND(((L57-INT(L57))*60),0)))</f>
        <v>44787.440277777772</v>
      </c>
      <c r="O57" s="5">
        <f>IF(ISBLANK(D57),"",Open_time Control_1+(INT(M57)&amp;":"&amp;IF(ROUND(((M57-INT(M57))*60),0)&lt;10,0,"")&amp;ROUND(((M57-INT(M57))*60),0)))</f>
        <v>44788.943055555552</v>
      </c>
    </row>
    <row r="58" spans="4:15" ht="17" customHeight="1" x14ac:dyDescent="0.15">
      <c r="D58" s="26">
        <v>979.4</v>
      </c>
      <c r="E58" s="75" t="s">
        <v>128</v>
      </c>
      <c r="F58" s="76" t="s">
        <v>113</v>
      </c>
      <c r="G58" s="76" t="s">
        <v>157</v>
      </c>
      <c r="H58" s="77" t="s">
        <v>129</v>
      </c>
      <c r="I58" s="76" t="s">
        <v>170</v>
      </c>
      <c r="J58" s="76" t="s">
        <v>171</v>
      </c>
      <c r="K58" s="77" t="s">
        <v>172</v>
      </c>
      <c r="L58">
        <f t="shared" si="7"/>
        <v>32.348999999999997</v>
      </c>
      <c r="M58">
        <f t="shared" si="6"/>
        <v>73.197499999999991</v>
      </c>
      <c r="N58" s="5">
        <f>IF(ISBLANK(D58),"",Open_time Control_1+(INT(L58)&amp;":"&amp;IF(ROUND(((L58-INT(L58))*60),0)&lt;10,0,"")&amp;ROUND(((L58-INT(L58))*60),0)))</f>
        <v>44787.57708333333</v>
      </c>
      <c r="O58" s="5">
        <f>IF(ISBLANK(D58),"",Open_time Control_1+(INT(M58)&amp;":"&amp;IF(ROUND(((M58-INT(M58))*60),0)&lt;10,0,"")&amp;ROUND(((M58-INT(M58))*60),0)))</f>
        <v>44789.279166666667</v>
      </c>
    </row>
    <row r="59" spans="4:15" ht="17" customHeight="1" x14ac:dyDescent="0.15">
      <c r="D59" s="26">
        <v>1004.7</v>
      </c>
      <c r="E59" s="75" t="s">
        <v>96</v>
      </c>
      <c r="F59" s="76" t="s">
        <v>114</v>
      </c>
      <c r="G59" s="76" t="s">
        <v>91</v>
      </c>
      <c r="H59" s="77" t="s">
        <v>92</v>
      </c>
      <c r="I59" s="76"/>
      <c r="J59" s="76"/>
      <c r="K59" s="77"/>
      <c r="L59">
        <f t="shared" si="7"/>
        <v>33.265469230769227</v>
      </c>
      <c r="M59">
        <f t="shared" si="6"/>
        <v>75</v>
      </c>
      <c r="N59" s="5">
        <f>IF(ISBLANK(D59),"",Open_time Control_1+(INT(L59)&amp;":"&amp;IF(ROUND(((L59-INT(L59))*60),0)&lt;10,0,"")&amp;ROUND(((L59-INT(L59))*60),0)))</f>
        <v>44787.615277777775</v>
      </c>
      <c r="O59" s="5">
        <f>IF(ISBLANK(D59),"",Open_time Control_1+(INT(M59)&amp;":"&amp;IF(ROUND(((M59-INT(M59))*60),0)&lt;10,0,"")&amp;ROUND(((M59-INT(M59))*60),0)))</f>
        <v>44789.354166666664</v>
      </c>
    </row>
    <row r="60" spans="4:15" ht="17" customHeight="1" x14ac:dyDescent="0.15">
      <c r="D60" s="26"/>
      <c r="E60" s="75"/>
      <c r="F60" s="76"/>
      <c r="G60" s="76"/>
      <c r="H60" s="77"/>
      <c r="I60" s="76"/>
      <c r="J60" s="76"/>
      <c r="K60" s="77"/>
      <c r="L60" t="str">
        <f t="shared" si="7"/>
        <v/>
      </c>
      <c r="M60" t="str">
        <f t="shared" si="6"/>
        <v/>
      </c>
      <c r="N60" s="5" t="str">
        <f>IF(ISBLANK(D60),"",Open_time Control_1+(INT(L60)&amp;":"&amp;IF(ROUND(((L60-INT(L60))*60),0)&lt;10,0,"")&amp;ROUND(((L60-INT(L60))*60),0)))</f>
        <v/>
      </c>
      <c r="O60" s="5" t="str">
        <f>IF(ISBLANK(D60),"",Open_time Control_1+(INT(M60)&amp;":"&amp;IF(ROUND(((M60-INT(M60))*60),0)&lt;10,0,"")&amp;ROUND(((M60-INT(M60))*60),0)))</f>
        <v/>
      </c>
    </row>
    <row r="61" spans="4:15" ht="17" customHeight="1" x14ac:dyDescent="0.15">
      <c r="D61" s="26"/>
      <c r="E61" s="75"/>
      <c r="F61" s="76"/>
      <c r="G61" s="76"/>
      <c r="H61" s="77"/>
      <c r="I61" s="76"/>
      <c r="J61" s="76"/>
      <c r="K61" s="77"/>
      <c r="L61" t="str">
        <f t="shared" si="7"/>
        <v/>
      </c>
      <c r="M61" t="str">
        <f t="shared" si="6"/>
        <v/>
      </c>
      <c r="N61" s="5" t="str">
        <f>IF(ISBLANK(D61),"",Open_time Control_1+(INT(L61)&amp;":"&amp;IF(ROUND(((L61-INT(L61))*60),0)&lt;10,0,"")&amp;ROUND(((L61-INT(L61))*60),0)))</f>
        <v/>
      </c>
      <c r="O61" s="5" t="str">
        <f>IF(ISBLANK(D61),"",Open_time Control_1+(INT(M61)&amp;":"&amp;IF(ROUND(((M61-INT(M61))*60),0)&lt;10,0,"")&amp;ROUND(((M61-INT(M61))*60),0)))</f>
        <v/>
      </c>
    </row>
    <row r="62" spans="4:15" ht="17" customHeight="1" x14ac:dyDescent="0.15">
      <c r="D62" s="26"/>
      <c r="E62" s="75" t="s">
        <v>109</v>
      </c>
      <c r="F62" s="76" t="s">
        <v>114</v>
      </c>
      <c r="G62" s="76"/>
      <c r="H62" s="77"/>
      <c r="I62" s="76"/>
      <c r="J62" s="76"/>
      <c r="K62" s="77"/>
      <c r="L62" t="str">
        <f t="shared" si="7"/>
        <v/>
      </c>
      <c r="M62" t="str">
        <f t="shared" si="6"/>
        <v/>
      </c>
      <c r="N62" s="5" t="str">
        <f>IF(ISBLANK(D62),"",Open_time Control_1+(INT(L62)&amp;":"&amp;IF(ROUND(((L62-INT(L62))*60),0)&lt;10,0,"")&amp;ROUND(((L62-INT(L62))*60),0)))</f>
        <v/>
      </c>
      <c r="O62" s="5" t="str">
        <f>IF(ISBLANK(D62),"",Open_time Control_1+(INT(M62)&amp;":"&amp;IF(ROUND(((M62-INT(M62))*60),0)&lt;10,0,"")&amp;ROUND(((M62-INT(M62))*60),0)))</f>
        <v/>
      </c>
    </row>
    <row r="63" spans="4:15" ht="17" customHeight="1" thickBot="1" x14ac:dyDescent="0.2">
      <c r="D63" s="52"/>
      <c r="E63" s="78"/>
      <c r="F63" s="79"/>
      <c r="G63" s="79"/>
      <c r="H63" s="80"/>
      <c r="I63" s="79"/>
      <c r="J63" s="79"/>
      <c r="K63" s="80"/>
      <c r="L63" t="str">
        <f t="shared" si="7"/>
        <v/>
      </c>
      <c r="M63" t="str">
        <f t="shared" si="6"/>
        <v/>
      </c>
      <c r="N63" s="5" t="str">
        <f>IF(ISBLANK(D63),"",Open_time Control_1+(INT(L63)&amp;":"&amp;IF(ROUND(((L63-INT(L63))*60),0)&lt;10,0,"")&amp;ROUND(((L63-INT(L63))*60),0)))</f>
        <v/>
      </c>
      <c r="O63" s="5" t="str">
        <f>IF(ISBLANK(D63),"",Open_time Control_1+(INT(M63)&amp;":"&amp;IF(ROUND(((M63-INT(M63))*60),0)&lt;10,0,"")&amp;ROUND(((M63-INT(M63))*60),0)))</f>
        <v/>
      </c>
    </row>
  </sheetData>
  <sheetProtection algorithmName="SHA-512" hashValue="sz3elNu4T2SGt0gr11IEu+otL/qDj0+cRQOg5grO+EMS3cvX9jEYQhKlOsnmaW3CfXHAQH4v3+PlV9k/s7BEdw==" saltValue="kLgQi0wha9upuDMg+a1WEA==" spinCount="100000" sheet="1" objects="1" scenarios="1" formatCells="0" selectLockedCells="1"/>
  <mergeCells count="12">
    <mergeCell ref="D52:H52"/>
    <mergeCell ref="I52:K52"/>
    <mergeCell ref="Q1:Z5"/>
    <mergeCell ref="A1:H1"/>
    <mergeCell ref="B8:H8"/>
    <mergeCell ref="D39:H39"/>
    <mergeCell ref="I39:K39"/>
    <mergeCell ref="J6:K6"/>
    <mergeCell ref="D13:H13"/>
    <mergeCell ref="D26:H26"/>
    <mergeCell ref="I13:K13"/>
    <mergeCell ref="I26:K26"/>
  </mergeCells>
  <phoneticPr fontId="16"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showGridLines="0" topLeftCell="A13" zoomScale="92" zoomScaleNormal="92" zoomScalePageLayoutView="92" workbookViewId="0">
      <selection activeCell="F13" sqref="F13"/>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28" customWidth="1"/>
    <col min="9" max="9" width="12" customWidth="1"/>
    <col min="18" max="19" width="8.83203125" customWidth="1"/>
  </cols>
  <sheetData>
    <row r="1" spans="1:22" ht="21" thickBot="1" x14ac:dyDescent="0.2">
      <c r="A1" s="140" t="s">
        <v>80</v>
      </c>
      <c r="B1" s="140"/>
      <c r="C1" s="140"/>
      <c r="D1" s="140"/>
      <c r="E1" s="140"/>
      <c r="F1" s="140"/>
      <c r="G1" s="140"/>
      <c r="H1" s="27" t="s">
        <v>29</v>
      </c>
    </row>
    <row r="2" spans="1:22" ht="33.75" customHeight="1" thickBot="1" x14ac:dyDescent="0.25">
      <c r="A2" s="74" t="s">
        <v>30</v>
      </c>
      <c r="B2" s="9" t="s">
        <v>3</v>
      </c>
      <c r="C2" s="9" t="s">
        <v>4</v>
      </c>
      <c r="D2" s="9" t="s">
        <v>25</v>
      </c>
      <c r="E2" s="9" t="s">
        <v>31</v>
      </c>
      <c r="F2" s="9" t="s">
        <v>59</v>
      </c>
      <c r="G2" s="74" t="s">
        <v>32</v>
      </c>
      <c r="H2" s="27" t="s">
        <v>29</v>
      </c>
      <c r="K2" s="145" t="s">
        <v>55</v>
      </c>
      <c r="L2" s="145"/>
      <c r="M2" s="145"/>
      <c r="N2" s="145"/>
      <c r="O2" s="145"/>
      <c r="P2" s="145"/>
      <c r="Q2" s="145"/>
      <c r="R2" s="145"/>
      <c r="S2" s="145"/>
      <c r="T2" s="145"/>
      <c r="U2" s="145"/>
    </row>
    <row r="3" spans="1:22" ht="36" customHeight="1" x14ac:dyDescent="0.45">
      <c r="A3" s="29"/>
      <c r="B3" s="30">
        <f>Control_1 Open_time</f>
        <v>44786.229166666664</v>
      </c>
      <c r="C3" s="30">
        <f>Control_1 Close_time</f>
        <v>44786.270833333328</v>
      </c>
      <c r="D3" s="31"/>
      <c r="E3" s="32" t="str">
        <f>IF(ISBLANK(Control_1 Establishment_1),"",Control_1 Establishment_1)</f>
        <v>STAFFED</v>
      </c>
      <c r="F3" s="97" t="str">
        <f>IF(ISBLANK('Control Entry'!I15),"",'Control Entry'!I15)</f>
        <v/>
      </c>
      <c r="G3" s="98"/>
      <c r="H3" s="27" t="s">
        <v>29</v>
      </c>
      <c r="K3" s="14"/>
      <c r="O3" s="129" t="s">
        <v>33</v>
      </c>
      <c r="P3" s="129"/>
      <c r="Q3" s="129"/>
      <c r="R3" s="129"/>
      <c r="S3" s="85" t="str">
        <f>IF('Control Entry'!D28=0,"","#1")</f>
        <v>#1</v>
      </c>
      <c r="U3" s="42"/>
    </row>
    <row r="4" spans="1:22" ht="36" customHeight="1" x14ac:dyDescent="0.2">
      <c r="A4" s="38">
        <f>IF(ISBLANK(Distance Control_1),"",Control_1 Distance)</f>
        <v>0</v>
      </c>
      <c r="B4" s="39">
        <f>Control_1 Open_time</f>
        <v>44786.229166666664</v>
      </c>
      <c r="C4" s="39">
        <f>Control_1 Close_time</f>
        <v>44786.270833333328</v>
      </c>
      <c r="D4" s="40" t="str">
        <f>IF(ISBLANK(Locale Control_1),"",Locale Control_1)</f>
        <v>SAANICHTON</v>
      </c>
      <c r="E4" s="32" t="str">
        <f>IF(ISBLANK(Control_1 Establishment_2),"",Control_1 Establishment_2)</f>
        <v>Waddling Dog Inn</v>
      </c>
      <c r="F4" s="97" t="str">
        <f>IF(ISBLANK('Control Entry'!J15),"",'Control Entry'!J15)</f>
        <v/>
      </c>
      <c r="G4" s="98"/>
      <c r="H4" s="27" t="s">
        <v>29</v>
      </c>
      <c r="K4" s="14"/>
      <c r="M4" s="126" t="str">
        <f>IF(ISBLANK(brevet),"",brevet&amp;" km Randonnée")</f>
        <v>1000 km Randonnée</v>
      </c>
      <c r="N4" s="126"/>
      <c r="O4" s="126"/>
      <c r="P4" s="126"/>
      <c r="Q4" s="126"/>
      <c r="R4" s="126"/>
      <c r="S4" s="126"/>
      <c r="T4" s="126"/>
      <c r="U4" s="43"/>
    </row>
    <row r="5" spans="1:22" ht="36" customHeight="1" thickBot="1" x14ac:dyDescent="0.25">
      <c r="A5" s="33"/>
      <c r="B5" s="34">
        <f>Control_1 Open_time</f>
        <v>44786.229166666664</v>
      </c>
      <c r="C5" s="34">
        <f>Control_1 Close_time</f>
        <v>44786.270833333328</v>
      </c>
      <c r="D5" s="35"/>
      <c r="E5" s="36" t="str">
        <f>IF(ISBLANK(Control_1 Establishment_3),"",Control_1 Establishment_3)</f>
        <v>2476 Mt. Newton Cross Rd.</v>
      </c>
      <c r="F5" s="102" t="str">
        <f>IF(ISBLANK('Control Entry'!K15),"",'Control Entry'!K15)</f>
        <v/>
      </c>
      <c r="G5" s="101"/>
      <c r="H5" s="27" t="s">
        <v>29</v>
      </c>
      <c r="K5" s="14"/>
      <c r="M5" s="15"/>
      <c r="N5" s="125" t="s">
        <v>47</v>
      </c>
      <c r="O5" s="125"/>
      <c r="P5" s="61">
        <f>IF(ISBLANK(Brevet_Number),"",Brevet_Number)</f>
        <v>5163</v>
      </c>
      <c r="Q5" s="62"/>
      <c r="R5" s="144">
        <f>IF(ISBLANK('Control Entry'!$B10),"",'Control Entry'!$B10)</f>
        <v>44786</v>
      </c>
      <c r="S5" s="144"/>
      <c r="T5" s="144"/>
      <c r="U5" s="144"/>
      <c r="V5" s="44"/>
    </row>
    <row r="6" spans="1:22" ht="36" customHeight="1" x14ac:dyDescent="0.2">
      <c r="A6" s="29"/>
      <c r="B6" s="30">
        <f>Control_2 Open_time</f>
        <v>44786.28125</v>
      </c>
      <c r="C6" s="30">
        <f>Control_2 Close_time</f>
        <v>44786.359722222223</v>
      </c>
      <c r="D6" s="37"/>
      <c r="E6" s="32" t="str">
        <f>IF(ISBLANK(Control_2 Establishment_1),"",Control_2 Establishment_1)</f>
        <v>STAFFED</v>
      </c>
      <c r="F6" s="97" t="str">
        <f>IF(ISBLANK('Control Entry'!I16),"",'Control Entry'!I16)</f>
        <v/>
      </c>
      <c r="G6" s="98"/>
      <c r="H6" s="27" t="s">
        <v>29</v>
      </c>
      <c r="K6" s="14"/>
      <c r="L6" s="132" t="str">
        <f>IF(ISBLANK(Brevet_Description),"",Brevet_Description)</f>
        <v>Bridges and Ferry Tour</v>
      </c>
      <c r="M6" s="132"/>
      <c r="N6" s="132"/>
      <c r="O6" s="132"/>
      <c r="P6" s="132"/>
      <c r="Q6" s="132"/>
      <c r="R6" s="132"/>
      <c r="S6" s="132"/>
      <c r="T6" s="132"/>
      <c r="U6" s="132"/>
    </row>
    <row r="7" spans="1:22" ht="36" customHeight="1" x14ac:dyDescent="0.2">
      <c r="A7" s="38">
        <f>IF(ISBLANK(Distance Control_2),"",Control_2 Distance)</f>
        <v>42.5</v>
      </c>
      <c r="B7" s="39">
        <f>Control_2 Open_time</f>
        <v>44786.28125</v>
      </c>
      <c r="C7" s="39">
        <f>Control_2 Close_time</f>
        <v>44786.359722222223</v>
      </c>
      <c r="D7" s="40" t="str">
        <f>IF(ISBLANK(Locale Control_2),"",Locale Control_2)</f>
        <v>MALAHAT</v>
      </c>
      <c r="E7" s="53" t="str">
        <f>IF(ISBLANK(Control_2 Establishment_2),"",Control_2 Establishment_2)</f>
        <v>Summit Rest Area</v>
      </c>
      <c r="F7" s="99" t="str">
        <f>IF(ISBLANK('Control Entry'!J16),"",'Control Entry'!J16)</f>
        <v/>
      </c>
      <c r="G7" s="98"/>
      <c r="H7" s="27" t="s">
        <v>29</v>
      </c>
      <c r="J7" s="84"/>
      <c r="L7" s="84"/>
    </row>
    <row r="8" spans="1:22" ht="36" customHeight="1" thickBot="1" x14ac:dyDescent="0.25">
      <c r="A8" s="33"/>
      <c r="B8" s="34">
        <f>Control_2 Open_time</f>
        <v>44786.28125</v>
      </c>
      <c r="C8" s="34">
        <f>Control_2 Close_time</f>
        <v>44786.359722222223</v>
      </c>
      <c r="D8" s="35"/>
      <c r="E8" s="83" t="str">
        <f>IF(ISBLANK(Control_2 Establishment_3),"",Control_2 Establishment_3)</f>
        <v>Trans Canada Hwy, #1</v>
      </c>
      <c r="F8" s="100" t="str">
        <f>IF(ISBLANK('Control Entry'!K16),"",'Control Entry'!K16)</f>
        <v/>
      </c>
      <c r="G8" s="101"/>
      <c r="H8" s="27" t="s">
        <v>29</v>
      </c>
      <c r="J8" s="15" t="s">
        <v>34</v>
      </c>
      <c r="L8" s="146"/>
      <c r="M8" s="146"/>
      <c r="N8" s="146"/>
      <c r="O8" s="146"/>
      <c r="P8" s="146"/>
      <c r="Q8" s="146"/>
      <c r="R8" s="28"/>
      <c r="S8" s="45" t="s">
        <v>46</v>
      </c>
      <c r="T8" s="153"/>
      <c r="U8" s="153"/>
    </row>
    <row r="9" spans="1:22" ht="36" customHeight="1" thickBot="1" x14ac:dyDescent="0.3">
      <c r="A9" s="29"/>
      <c r="B9" s="30">
        <f>Control_3 Open_time</f>
        <v>44786.329861111109</v>
      </c>
      <c r="C9" s="30">
        <f>Control_3 Close_time</f>
        <v>44786.457638888889</v>
      </c>
      <c r="D9" s="37"/>
      <c r="E9" s="32" t="str">
        <f>IF(ISBLANK(Control_3 Establishment_1),"",Control_3 Establishment_1)</f>
        <v>STAFFED</v>
      </c>
      <c r="F9" s="97" t="str">
        <f>IF(ISBLANK('Control Entry'!I17),"",'Control Entry'!I17)</f>
        <v/>
      </c>
      <c r="G9" s="98"/>
      <c r="H9" s="27" t="s">
        <v>29</v>
      </c>
      <c r="J9" s="15" t="s">
        <v>35</v>
      </c>
      <c r="K9" s="15"/>
      <c r="L9" s="134" t="s">
        <v>54</v>
      </c>
      <c r="M9" s="134"/>
      <c r="N9" s="134"/>
      <c r="O9" s="134"/>
      <c r="P9" s="134"/>
      <c r="Q9" s="134"/>
      <c r="R9" s="134"/>
      <c r="S9" s="134"/>
      <c r="T9" s="134"/>
      <c r="U9" s="134"/>
    </row>
    <row r="10" spans="1:22" ht="36" customHeight="1" thickBot="1" x14ac:dyDescent="0.3">
      <c r="A10" s="38">
        <f>IF(ISBLANK(Distance Control_3),"",Control_3 Distance)</f>
        <v>82.2</v>
      </c>
      <c r="B10" s="39">
        <f>Control_3 Open_time</f>
        <v>44786.329861111109</v>
      </c>
      <c r="C10" s="39">
        <f>Control_3 Close_time</f>
        <v>44786.457638888889</v>
      </c>
      <c r="D10" s="40" t="str">
        <f>IF(ISBLANK(Locale Control_3),"",Locale Control_3)</f>
        <v>SHAWNIGAN LAKE</v>
      </c>
      <c r="E10" s="32" t="str">
        <f>IF(ISBLANK(Control_3 Establishment_2),"",Control_3 Establishment_2)</f>
        <v>Kinsol Trestle</v>
      </c>
      <c r="F10" s="97" t="str">
        <f>IF(ISBLANK('Control Entry'!J17),"",'Control Entry'!J17)</f>
        <v/>
      </c>
      <c r="G10" s="98"/>
      <c r="H10" s="27" t="s">
        <v>29</v>
      </c>
      <c r="J10" s="15"/>
      <c r="K10" s="15"/>
      <c r="L10" s="135"/>
      <c r="M10" s="135"/>
      <c r="N10" s="135"/>
      <c r="O10" s="135"/>
      <c r="P10" s="135"/>
      <c r="Q10" s="135"/>
      <c r="R10" s="135"/>
      <c r="S10" s="135"/>
      <c r="T10" s="135"/>
      <c r="U10" s="135"/>
    </row>
    <row r="11" spans="1:22" ht="36" customHeight="1" thickBot="1" x14ac:dyDescent="0.3">
      <c r="A11" s="33"/>
      <c r="B11" s="34">
        <f>Control_3 Open_time</f>
        <v>44786.329861111109</v>
      </c>
      <c r="C11" s="34">
        <f>Control_3 Close_time</f>
        <v>44786.457638888889</v>
      </c>
      <c r="D11" s="35"/>
      <c r="E11" s="36" t="str">
        <f>IF(ISBLANK(Control_3 Establishment_3),"",Control_3 Establishment_3)</f>
        <v>Cowichan Valley Trail</v>
      </c>
      <c r="F11" s="102" t="str">
        <f>IF(ISBLANK('Control Entry'!K17),"",'Control Entry'!K17)</f>
        <v/>
      </c>
      <c r="G11" s="101"/>
      <c r="H11" s="27" t="s">
        <v>29</v>
      </c>
      <c r="J11" s="15" t="s">
        <v>36</v>
      </c>
      <c r="K11" s="15"/>
      <c r="L11" s="135"/>
      <c r="M11" s="135"/>
      <c r="N11" s="135"/>
      <c r="O11" s="18"/>
      <c r="P11" s="18" t="s">
        <v>37</v>
      </c>
      <c r="Q11" s="18"/>
      <c r="R11" s="18"/>
      <c r="S11" s="139"/>
      <c r="T11" s="139"/>
      <c r="U11" s="139"/>
    </row>
    <row r="12" spans="1:22" ht="36" customHeight="1" thickBot="1" x14ac:dyDescent="0.3">
      <c r="A12" s="29"/>
      <c r="B12" s="30">
        <f>Control_4 Open_time</f>
        <v>44786.390972222223</v>
      </c>
      <c r="C12" s="30">
        <f>Control_4 Close_time</f>
        <v>44786.596527777772</v>
      </c>
      <c r="D12" s="37"/>
      <c r="E12" s="32" t="str">
        <f>IF(ISBLANK(Control_4 Establishment_1),"",Control_4 Establishment_1)</f>
        <v>INFORMATION</v>
      </c>
      <c r="F12" s="97" t="str">
        <f>IF(ISBLANK('Control Entry'!I18),"",'Control Entry'!I18)</f>
        <v>Ocean Access sign to right of ramp</v>
      </c>
      <c r="G12" s="98"/>
      <c r="H12" s="27" t="s">
        <v>29</v>
      </c>
      <c r="J12" s="15" t="s">
        <v>38</v>
      </c>
      <c r="K12" s="15"/>
      <c r="L12" s="135"/>
      <c r="M12" s="135"/>
      <c r="N12" s="135"/>
      <c r="O12" s="18"/>
      <c r="P12" s="18" t="s">
        <v>39</v>
      </c>
      <c r="Q12" s="18"/>
      <c r="R12" s="18"/>
      <c r="S12" s="139"/>
      <c r="T12" s="139"/>
      <c r="U12" s="139"/>
    </row>
    <row r="13" spans="1:22" ht="36" customHeight="1" thickBot="1" x14ac:dyDescent="0.3">
      <c r="A13" s="38">
        <f>IF(ISBLANK(Distance Control_4),"",Control_4 Distance)</f>
        <v>132.30000000000001</v>
      </c>
      <c r="B13" s="39">
        <f>Control_4 Open_time</f>
        <v>44786.390972222223</v>
      </c>
      <c r="C13" s="39">
        <f>Control_4 Close_time</f>
        <v>44786.596527777772</v>
      </c>
      <c r="D13" s="40" t="str">
        <f>IF(ISBLANK(Locale Control_4),"",Locale Control_4)</f>
        <v>GENOA BAY</v>
      </c>
      <c r="E13" s="32" t="str">
        <f>IF(ISBLANK(Control_4 Establishment_2),"",Control_4 Establishment_2)</f>
        <v>Genoa Bay Marina</v>
      </c>
      <c r="F13" s="99" t="str">
        <f>IF(ISBLANK('Control Entry'!J18),"",'Control Entry'!J18)</f>
        <v>Left side.  Opening hour ??</v>
      </c>
      <c r="G13" s="98"/>
      <c r="H13" s="27" t="s">
        <v>29</v>
      </c>
      <c r="J13" s="15" t="s">
        <v>40</v>
      </c>
      <c r="L13" s="138"/>
      <c r="M13" s="138"/>
      <c r="N13" s="138"/>
      <c r="O13" s="19"/>
      <c r="P13" s="18" t="s">
        <v>41</v>
      </c>
      <c r="Q13" s="18"/>
      <c r="R13" s="143"/>
      <c r="S13" s="143"/>
      <c r="T13" s="143"/>
      <c r="U13" s="143"/>
    </row>
    <row r="14" spans="1:22" ht="36" customHeight="1" thickBot="1" x14ac:dyDescent="0.25">
      <c r="A14" s="33"/>
      <c r="B14" s="34">
        <f>Control_4 Open_time</f>
        <v>44786.390972222223</v>
      </c>
      <c r="C14" s="34">
        <f>Control_4 Close_time</f>
        <v>44786.596527777772</v>
      </c>
      <c r="D14" s="35"/>
      <c r="E14" s="36" t="str">
        <f>IF(ISBLANK(Control_4 Establishment_3),"",Control_4 Establishment_3)</f>
        <v>Boat Ramp</v>
      </c>
      <c r="F14" s="102" t="str">
        <f>IF(ISBLANK('Control Entry'!K18),"",'Control Entry'!K18)</f>
        <v/>
      </c>
      <c r="G14" s="101"/>
      <c r="H14" s="27" t="s">
        <v>29</v>
      </c>
    </row>
    <row r="15" spans="1:22" ht="36" customHeight="1" x14ac:dyDescent="0.2">
      <c r="A15" s="29"/>
      <c r="B15" s="30">
        <f>Control_5 Open_time</f>
        <v>44786.469444444439</v>
      </c>
      <c r="C15" s="30">
        <f>Control_5 Close_time</f>
        <v>44786.772916666661</v>
      </c>
      <c r="D15" s="37"/>
      <c r="E15" s="32" t="str">
        <f>IF(ISBLANK(Control_5 Establishment_1),"",Control_5 Establishment_1)</f>
        <v>INFORMATION</v>
      </c>
      <c r="F15" s="97" t="str">
        <f>IF(ISBLANK('Control Entry'!I19),"",'Control Entry'!I19)</f>
        <v>Sign at washoom</v>
      </c>
      <c r="G15" s="98"/>
      <c r="H15" s="27" t="s">
        <v>29</v>
      </c>
      <c r="J15" s="15"/>
      <c r="L15" s="131" t="s">
        <v>58</v>
      </c>
      <c r="M15" s="131"/>
      <c r="N15" s="131"/>
      <c r="O15" s="131"/>
      <c r="P15" s="131"/>
      <c r="Q15" s="131"/>
      <c r="R15" s="131"/>
      <c r="S15" s="131"/>
      <c r="T15" s="131"/>
      <c r="U15" s="131"/>
    </row>
    <row r="16" spans="1:22" ht="36" customHeight="1" thickBot="1" x14ac:dyDescent="0.25">
      <c r="A16" s="38">
        <f>IF(ISBLANK(Distance Control_5),"",Control_5 Distance)</f>
        <v>195.8</v>
      </c>
      <c r="B16" s="39">
        <f>Control_5 Open_time</f>
        <v>44786.469444444439</v>
      </c>
      <c r="C16" s="39">
        <f>Control_5 Close_time</f>
        <v>44786.772916666661</v>
      </c>
      <c r="D16" s="40" t="str">
        <f>IF(ISBLANK(Locale Control_5),"",Locale Control_5)</f>
        <v>GORDON BAY</v>
      </c>
      <c r="E16" s="32" t="str">
        <f>IF(ISBLANK(Control_5 Establishment_2),"",Control_5 Establishment_2)</f>
        <v xml:space="preserve">Gordon Bay Provincial Park </v>
      </c>
      <c r="F16" s="97" t="str">
        <f>IF(ISBLANK('Control Entry'!J19),"",'Control Entry'!J19)</f>
        <v>What species is endangered?</v>
      </c>
      <c r="G16" s="98"/>
      <c r="H16" s="27" t="s">
        <v>29</v>
      </c>
      <c r="L16" s="136"/>
      <c r="M16" s="136"/>
      <c r="N16" s="136"/>
      <c r="O16" s="136"/>
      <c r="P16" s="136"/>
      <c r="Q16" s="136"/>
      <c r="R16" s="136"/>
      <c r="S16" s="136"/>
      <c r="T16" s="136"/>
      <c r="U16" s="136"/>
    </row>
    <row r="17" spans="1:22" ht="36" customHeight="1" thickBot="1" x14ac:dyDescent="0.25">
      <c r="A17" s="33"/>
      <c r="B17" s="34">
        <f>Control_5 Open_time</f>
        <v>44786.469444444439</v>
      </c>
      <c r="C17" s="34">
        <f>Control_5 Close_time</f>
        <v>44786.772916666661</v>
      </c>
      <c r="D17" s="35"/>
      <c r="E17" s="36" t="str">
        <f>IF(ISBLANK(Control_5 Establishment_3),"",Control_5 Establishment_3)</f>
        <v>Day Use Area</v>
      </c>
      <c r="F17" s="102" t="str">
        <f>IF(ISBLANK('Control Entry'!K19),"",'Control Entry'!K19)</f>
        <v/>
      </c>
      <c r="G17" s="101"/>
      <c r="H17" s="27" t="s">
        <v>29</v>
      </c>
    </row>
    <row r="18" spans="1:22" ht="36" customHeight="1" x14ac:dyDescent="0.2">
      <c r="A18" s="29"/>
      <c r="B18" s="30">
        <f>Control_6 Open_time</f>
        <v>44786.51180555555</v>
      </c>
      <c r="C18" s="30">
        <f>Control_6 Close_time</f>
        <v>44786.863888888889</v>
      </c>
      <c r="D18" s="37"/>
      <c r="E18" s="32" t="str">
        <f>IF(ISBLANK(Control_6 Establishment_1),"",Control_6 Establishment_1)</f>
        <v>STAFFED</v>
      </c>
      <c r="F18" s="97" t="str">
        <f>IF(ISBLANK('Control Entry'!I20),"",'Control Entry'!I20)</f>
        <v/>
      </c>
      <c r="G18" s="98"/>
      <c r="H18" s="27" t="s">
        <v>29</v>
      </c>
    </row>
    <row r="19" spans="1:22" ht="36" customHeight="1" x14ac:dyDescent="0.2">
      <c r="A19" s="38">
        <f>IF(ISBLANK(Distance Control_6),"",Control_6 Distance)</f>
        <v>228.6</v>
      </c>
      <c r="B19" s="39">
        <f>Control_6 Open_time</f>
        <v>44786.51180555555</v>
      </c>
      <c r="C19" s="39">
        <f>Control_6 Close_time</f>
        <v>44786.863888888889</v>
      </c>
      <c r="D19" s="40" t="str">
        <f>IF(ISBLANK(Locale Control_6),"",Locale Control_6)</f>
        <v>YOUBOU</v>
      </c>
      <c r="E19" s="32" t="str">
        <f>IF(ISBLANK(Control_6 Establishment_2),"",Control_6 Establishment_2)</f>
        <v>Pine Point Recreation Site</v>
      </c>
      <c r="F19" s="97" t="str">
        <f>IF(ISBLANK('Control Entry'!J20),"",'Control Entry'!J20)</f>
        <v/>
      </c>
      <c r="G19" s="98"/>
      <c r="H19" s="27" t="s">
        <v>29</v>
      </c>
    </row>
    <row r="20" spans="1:22" ht="36" customHeight="1" thickBot="1" x14ac:dyDescent="0.25">
      <c r="A20" s="33"/>
      <c r="B20" s="34">
        <f>Control_6 Open_time</f>
        <v>44786.51180555555</v>
      </c>
      <c r="C20" s="34">
        <f>Control_6 Close_time</f>
        <v>44786.863888888889</v>
      </c>
      <c r="D20" s="35"/>
      <c r="E20" s="36" t="str">
        <f>IF(ISBLANK(Control_6 Establishment_3),"",Control_6 Establishment_3)</f>
        <v>North Shore Main</v>
      </c>
      <c r="F20" s="102" t="str">
        <f>IF(ISBLANK('Control Entry'!K20),"",'Control Entry'!K20)</f>
        <v/>
      </c>
      <c r="G20" s="101"/>
      <c r="H20" s="27" t="s">
        <v>29</v>
      </c>
      <c r="J20" s="59" t="s">
        <v>44</v>
      </c>
      <c r="K20" s="59"/>
      <c r="L20" s="154">
        <f>IF(ISBLANK('Control Entry'!B12),"",'Control Entry'!B12)</f>
        <v>44786</v>
      </c>
      <c r="M20" s="154"/>
      <c r="N20" s="154"/>
      <c r="P20" s="18" t="s">
        <v>0</v>
      </c>
      <c r="Q20" s="18"/>
      <c r="S20" s="130">
        <f>IF(ISBLANK('Control Entry'!B13),"",'Control Entry'!B13)</f>
        <v>0.22916666666666666</v>
      </c>
      <c r="T20" s="130"/>
      <c r="U20" s="130"/>
    </row>
    <row r="21" spans="1:22" ht="36" customHeight="1" x14ac:dyDescent="0.2">
      <c r="A21" s="29"/>
      <c r="B21" s="30">
        <f>Control_7 Open_time</f>
        <v>44786.636111111111</v>
      </c>
      <c r="C21" s="30">
        <f>Control_7 Close_time</f>
        <v>44787.130555555552</v>
      </c>
      <c r="D21" s="37"/>
      <c r="E21" s="32" t="str">
        <f>IF(ISBLANK(Control_7 Establishment_1),"",Control_7 Establishment_1)</f>
        <v>INFORMATION</v>
      </c>
      <c r="F21" s="97" t="str">
        <f>IF(ISBLANK('Control Entry'!I21),"",'Control Entry'!I21)</f>
        <v>Sign to right of gate.  Bylaw ###?</v>
      </c>
      <c r="G21" s="98"/>
      <c r="H21" s="27" t="s">
        <v>29</v>
      </c>
      <c r="J21" s="59"/>
      <c r="K21" s="59"/>
      <c r="L21" s="57"/>
      <c r="M21" s="57"/>
      <c r="N21" s="57"/>
      <c r="P21" s="18"/>
      <c r="Q21" s="18"/>
      <c r="R21" s="22"/>
      <c r="S21" s="60"/>
      <c r="T21" s="60"/>
      <c r="U21" s="60"/>
      <c r="V21" s="28"/>
    </row>
    <row r="22" spans="1:22" ht="36" customHeight="1" thickBot="1" x14ac:dyDescent="0.25">
      <c r="A22" s="38">
        <f>IF(ISBLANK(Distance Control_7),"",Control_7 Distance)</f>
        <v>324.39999999999998</v>
      </c>
      <c r="B22" s="39">
        <f>Control_7 Open_time</f>
        <v>44786.636111111111</v>
      </c>
      <c r="C22" s="39">
        <f>Control_7 Close_time</f>
        <v>44787.130555555552</v>
      </c>
      <c r="D22" s="40" t="str">
        <f>IF(ISBLANK(Locale Control_7),"",Locale Control_7)</f>
        <v>LADYSMITH</v>
      </c>
      <c r="E22" s="32" t="str">
        <f>IF(ISBLANK(Control_7 Establishment_2),"",Control_7 Establishment_2)</f>
        <v>Elliots Beach Park</v>
      </c>
      <c r="F22" s="97" t="str">
        <f>IF(ISBLANK('Control Entry'!J21),"",'Control Entry'!J21)</f>
        <v/>
      </c>
      <c r="G22" s="98"/>
      <c r="H22" s="27" t="s">
        <v>29</v>
      </c>
      <c r="J22" s="58" t="s">
        <v>45</v>
      </c>
      <c r="K22" s="58"/>
      <c r="L22" s="137"/>
      <c r="M22" s="137"/>
      <c r="N22" s="137"/>
      <c r="O22" s="19"/>
      <c r="P22" s="18" t="s">
        <v>1</v>
      </c>
      <c r="Q22" s="18"/>
      <c r="R22" s="19"/>
      <c r="S22" s="133"/>
      <c r="T22" s="133"/>
      <c r="U22" s="133"/>
    </row>
    <row r="23" spans="1:22" ht="36" customHeight="1" thickBot="1" x14ac:dyDescent="0.25">
      <c r="A23" s="33"/>
      <c r="B23" s="34">
        <f>Control_7 Open_time</f>
        <v>44786.636111111111</v>
      </c>
      <c r="C23" s="34">
        <f>Control_7 Close_time</f>
        <v>44787.130555555552</v>
      </c>
      <c r="D23" s="35"/>
      <c r="E23" s="36" t="str">
        <f>IF(ISBLANK(Control_7 Establishment_3),"",Control_7 Establishment_3)</f>
        <v>11846 Elliot Way</v>
      </c>
      <c r="F23" s="102" t="str">
        <f>IF(ISBLANK('Control Entry'!K21),"",'Control Entry'!K21)</f>
        <v/>
      </c>
      <c r="G23" s="101"/>
      <c r="H23" s="27" t="s">
        <v>29</v>
      </c>
      <c r="J23" s="58"/>
      <c r="K23" s="58"/>
      <c r="L23" s="57"/>
      <c r="M23" s="57"/>
      <c r="N23" s="57"/>
      <c r="O23" s="22"/>
      <c r="P23" s="56"/>
      <c r="Q23" s="56"/>
      <c r="R23" s="22"/>
      <c r="S23" s="22"/>
      <c r="T23" s="22"/>
      <c r="U23" s="22"/>
      <c r="V23" s="28"/>
    </row>
    <row r="24" spans="1:22" ht="36" customHeight="1" thickBot="1" x14ac:dyDescent="0.25">
      <c r="A24" s="29"/>
      <c r="B24" s="30">
        <f>Control_8 Open_time</f>
        <v>44786.692361111105</v>
      </c>
      <c r="C24" s="30">
        <f>Control_8 Close_time</f>
        <v>44787.249305555553</v>
      </c>
      <c r="D24" s="37"/>
      <c r="E24" s="32" t="str">
        <f>IF(ISBLANK(Control_8 Establishment_1),"",Control_8 Establishment_1)</f>
        <v>STAFFED</v>
      </c>
      <c r="F24" s="97" t="str">
        <f>IF(ISBLANK('Control Entry'!I22),"",'Control Entry'!I22)</f>
        <v/>
      </c>
      <c r="G24" s="98"/>
      <c r="H24" s="27" t="s">
        <v>29</v>
      </c>
      <c r="J24" s="133"/>
      <c r="K24" s="133"/>
      <c r="L24" s="133"/>
      <c r="M24" s="133"/>
      <c r="N24" s="133"/>
      <c r="O24" s="19"/>
      <c r="P24" s="18" t="s">
        <v>2</v>
      </c>
      <c r="Q24" s="18"/>
      <c r="R24" s="19"/>
      <c r="S24" s="133"/>
      <c r="T24" s="133"/>
      <c r="U24" s="133"/>
    </row>
    <row r="25" spans="1:22" ht="36" customHeight="1" x14ac:dyDescent="0.2">
      <c r="A25" s="38">
        <f>IF(ISBLANK(Distance Control_8),"",Control_8 Distance)</f>
        <v>367.3</v>
      </c>
      <c r="B25" s="39">
        <f>Control_8 Open_time</f>
        <v>44786.692361111105</v>
      </c>
      <c r="C25" s="39">
        <f>Control_8 Close_time</f>
        <v>44787.249305555553</v>
      </c>
      <c r="D25" s="40" t="str">
        <f>IF(ISBLANK(Locale Control_8),"",Locale Control_8)</f>
        <v>NANAIMO</v>
      </c>
      <c r="E25" s="32" t="str">
        <f>IF(ISBLANK(Control_8 Establishment_2),"",Control_8 Establishment_2)</f>
        <v>Bluebird Motel</v>
      </c>
      <c r="F25" s="97" t="str">
        <f>IF(ISBLANK('Control Entry'!J22),"",'Control Entry'!J22)</f>
        <v/>
      </c>
      <c r="G25" s="98"/>
      <c r="H25" s="27" t="s">
        <v>29</v>
      </c>
      <c r="J25" s="128" t="s">
        <v>17</v>
      </c>
      <c r="K25" s="128"/>
      <c r="L25" s="128"/>
      <c r="M25" s="128"/>
      <c r="N25" s="128"/>
      <c r="O25" s="51"/>
      <c r="P25" s="127"/>
      <c r="Q25" s="127"/>
      <c r="R25" s="51"/>
      <c r="S25" s="142"/>
      <c r="T25" s="142"/>
      <c r="U25" s="142"/>
      <c r="V25" s="142"/>
    </row>
    <row r="26" spans="1:22" ht="36" customHeight="1" thickBot="1" x14ac:dyDescent="0.25">
      <c r="A26" s="33"/>
      <c r="B26" s="34">
        <f>Control_8 Open_time</f>
        <v>44786.692361111105</v>
      </c>
      <c r="C26" s="34">
        <f>Control_8 Close_time</f>
        <v>44787.249305555553</v>
      </c>
      <c r="D26" s="35"/>
      <c r="E26" s="36" t="str">
        <f>IF(ISBLANK(Control_8 Establishment_3),"",Control_8 Establishment_3)</f>
        <v>995 Terminal Ave. N.</v>
      </c>
      <c r="F26" s="102" t="str">
        <f>IF(ISBLANK('Control Entry'!K22),"",'Control Entry'!K22)</f>
        <v/>
      </c>
      <c r="G26" s="101"/>
      <c r="H26" s="27" t="s">
        <v>29</v>
      </c>
    </row>
    <row r="27" spans="1:22" ht="36" customHeight="1" x14ac:dyDescent="0.2">
      <c r="A27" s="29"/>
      <c r="B27" s="30" t="str">
        <f>Control_9 Open_time</f>
        <v/>
      </c>
      <c r="C27" s="30" t="str">
        <f>Control_9 Close_time</f>
        <v/>
      </c>
      <c r="D27" s="37"/>
      <c r="E27" s="32" t="str">
        <f>IF(ISBLANK(Control_9 Establishment_1),"",Control_9 Establishment_1)</f>
        <v>STAFFED</v>
      </c>
      <c r="F27" s="97" t="str">
        <f>IF(ISBLANK('Control Entry'!I23),"",'Control Entry'!I23)</f>
        <v/>
      </c>
      <c r="G27" s="98"/>
      <c r="H27" s="27" t="s">
        <v>29</v>
      </c>
      <c r="K27" s="126" t="s">
        <v>56</v>
      </c>
      <c r="L27" s="127"/>
      <c r="M27" s="50" t="s">
        <v>57</v>
      </c>
      <c r="N27" s="127" t="s">
        <v>49</v>
      </c>
      <c r="O27" s="127"/>
      <c r="P27" s="127" t="s">
        <v>50</v>
      </c>
      <c r="Q27" s="127"/>
      <c r="R27" s="51" t="s">
        <v>51</v>
      </c>
      <c r="S27" s="142" t="s">
        <v>52</v>
      </c>
      <c r="T27" s="142"/>
      <c r="U27" s="142" t="s">
        <v>53</v>
      </c>
      <c r="V27" s="142"/>
    </row>
    <row r="28" spans="1:22" ht="36" customHeight="1" x14ac:dyDescent="0.2">
      <c r="A28" s="38" t="str">
        <f>IF(ISBLANK(Distance Control_9),"",Control_9 Distance)</f>
        <v/>
      </c>
      <c r="B28" s="39" t="str">
        <f>Control_9 Open_time</f>
        <v/>
      </c>
      <c r="C28" s="39" t="str">
        <f>Control_9 Close_time</f>
        <v/>
      </c>
      <c r="D28" s="40" t="str">
        <f>IF(ISBLANK(Locale Control_9),"",Locale Control_9)</f>
        <v>Secret</v>
      </c>
      <c r="E28" s="32" t="str">
        <f>IF(ISBLANK(Control_9 Establishment_2),"",Control_9 Establishment_2)</f>
        <v/>
      </c>
      <c r="F28" s="97" t="str">
        <f>IF(ISBLANK('Control Entry'!J23),"",'Control Entry'!J23)</f>
        <v/>
      </c>
      <c r="G28" s="98"/>
      <c r="H28" s="27" t="s">
        <v>29</v>
      </c>
    </row>
    <row r="29" spans="1:22" ht="36" customHeight="1" thickBot="1" x14ac:dyDescent="0.25">
      <c r="A29" s="33"/>
      <c r="B29" s="34" t="str">
        <f>Control_9 Open_time</f>
        <v/>
      </c>
      <c r="C29" s="34" t="str">
        <f>Control_9 Close_time</f>
        <v/>
      </c>
      <c r="D29" s="35"/>
      <c r="E29" s="36" t="str">
        <f>IF(ISBLANK(Control_9 Establishment_3),"",Control_9 Establishment_3)</f>
        <v/>
      </c>
      <c r="F29" s="102" t="str">
        <f>IF(ISBLANK('Control Entry'!K23),"",'Control Entry'!K23)</f>
        <v/>
      </c>
      <c r="G29" s="101"/>
      <c r="H29" s="27" t="s">
        <v>29</v>
      </c>
      <c r="M29" s="155" t="s">
        <v>42</v>
      </c>
      <c r="N29" s="155"/>
      <c r="O29" s="155"/>
      <c r="P29" s="155"/>
      <c r="Q29" s="155"/>
      <c r="R29" s="155"/>
      <c r="S29" s="155"/>
      <c r="T29" s="155"/>
      <c r="U29" s="54"/>
    </row>
    <row r="30" spans="1:22" ht="36" customHeight="1" x14ac:dyDescent="0.2">
      <c r="A30" s="29"/>
      <c r="B30" s="30" t="str">
        <f>Control_10 Open_time</f>
        <v/>
      </c>
      <c r="C30" s="30" t="str">
        <f>Control_10 Close_time</f>
        <v/>
      </c>
      <c r="D30" s="37"/>
      <c r="E30" s="32" t="str">
        <f>IF(ISBLANK(Control_10 Establishment_1),"",Control_10 Establishment_1)</f>
        <v/>
      </c>
      <c r="F30" s="97" t="str">
        <f>IF(ISBLANK('Control Entry'!I24),"",'Control Entry'!I24)</f>
        <v/>
      </c>
      <c r="G30" s="98"/>
      <c r="H30" s="27" t="s">
        <v>29</v>
      </c>
      <c r="M30" s="16"/>
      <c r="N30" s="20"/>
      <c r="O30" s="20"/>
      <c r="P30" s="21"/>
      <c r="Q30" s="104"/>
      <c r="R30" s="20"/>
      <c r="S30" s="20"/>
      <c r="T30" s="21"/>
      <c r="U30" s="22"/>
    </row>
    <row r="31" spans="1:22" ht="36" customHeight="1" x14ac:dyDescent="0.2">
      <c r="A31" s="38" t="str">
        <f>IF(ISBLANK(Distance Control_10),"",Control_10 Distance)</f>
        <v/>
      </c>
      <c r="B31" s="39" t="str">
        <f>Control_10 Open_time</f>
        <v/>
      </c>
      <c r="C31" s="39" t="str">
        <f>Control_10 Close_time</f>
        <v/>
      </c>
      <c r="D31" s="40" t="str">
        <f>IF(ISBLANK(Locale Control_10),"",Locale Control_10)</f>
        <v/>
      </c>
      <c r="E31" s="32" t="str">
        <f>IF(ISBLANK(Control_10 Establishment_2),"",Control_10 Establishment_2)</f>
        <v/>
      </c>
      <c r="F31" s="97" t="str">
        <f>IF(ISBLANK('Control Entry'!J24),"",'Control Entry'!J24)</f>
        <v/>
      </c>
      <c r="G31" s="98"/>
      <c r="H31" s="27" t="s">
        <v>29</v>
      </c>
      <c r="M31" s="17"/>
      <c r="N31" s="22"/>
      <c r="O31" s="22"/>
      <c r="P31" s="23"/>
      <c r="Q31" s="105"/>
      <c r="R31" s="22"/>
      <c r="S31" s="22"/>
      <c r="T31" s="23"/>
      <c r="U31" s="22"/>
    </row>
    <row r="32" spans="1:22" ht="36" customHeight="1" thickBot="1" x14ac:dyDescent="0.25">
      <c r="A32" s="33"/>
      <c r="B32" s="34" t="str">
        <f>Control_10 Open_time</f>
        <v/>
      </c>
      <c r="C32" s="34" t="str">
        <f>Control_10 Close_time</f>
        <v/>
      </c>
      <c r="D32" s="35"/>
      <c r="E32" s="36" t="str">
        <f>IF(ISBLANK(Control_10 Establishment_3),"",Control_10 Establishment_3)</f>
        <v/>
      </c>
      <c r="F32" s="102" t="str">
        <f>IF(ISBLANK('Control Entry'!K24),"",'Control Entry'!K24)</f>
        <v/>
      </c>
      <c r="G32" s="101"/>
      <c r="H32" s="27" t="s">
        <v>29</v>
      </c>
      <c r="M32" s="147" t="s">
        <v>82</v>
      </c>
      <c r="N32" s="148"/>
      <c r="O32" s="148"/>
      <c r="P32" s="149"/>
      <c r="Q32" s="150">
        <f>'Control Entry'!B3</f>
        <v>44700</v>
      </c>
      <c r="R32" s="151"/>
      <c r="S32" s="151"/>
      <c r="T32" s="152"/>
      <c r="U32" s="22"/>
    </row>
    <row r="33" spans="1:22" ht="36" customHeight="1" x14ac:dyDescent="0.2">
      <c r="A33" s="141" t="s">
        <v>43</v>
      </c>
      <c r="B33" s="141"/>
      <c r="C33" s="141"/>
      <c r="D33" s="141"/>
      <c r="E33" s="141"/>
      <c r="F33" s="141"/>
      <c r="G33" s="141"/>
      <c r="H33" s="41"/>
      <c r="I33" s="41"/>
      <c r="M33" s="156" t="s">
        <v>86</v>
      </c>
      <c r="N33" s="157"/>
      <c r="O33" s="157"/>
      <c r="P33" s="157"/>
      <c r="Q33" s="158">
        <f>'Control Entry'!B4</f>
        <v>44783</v>
      </c>
      <c r="R33" s="159"/>
      <c r="S33" s="159"/>
      <c r="T33" s="159"/>
      <c r="U33" s="93"/>
      <c r="V33" s="49"/>
    </row>
    <row r="34" spans="1:22" ht="36" customHeight="1" x14ac:dyDescent="0.2">
      <c r="A34"/>
      <c r="O34" s="47"/>
      <c r="P34" s="47"/>
      <c r="Q34" s="47"/>
      <c r="R34" s="46"/>
    </row>
    <row r="35" spans="1:22" ht="36" customHeight="1" x14ac:dyDescent="0.2">
      <c r="A35"/>
      <c r="N35" s="155"/>
      <c r="O35" s="155"/>
      <c r="P35" s="155"/>
      <c r="Q35" s="155"/>
      <c r="R35" s="155"/>
      <c r="S35" s="155"/>
      <c r="T35" s="155"/>
      <c r="U35" s="155"/>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iDQb38Z5WZp87lXMQAT4xTXeXKPICpVt+wSBVo/dofQxJAYMrgvpXFZDzKlfo5JR1/olCdCIytlMSqpHKz79Wg==" saltValue="3TGUHDVIfOEKM0XlLUm4zg==" spinCount="100000" sheet="1" objects="1" scenarios="1" formatCells="0" selectLockedCells="1"/>
  <mergeCells count="41">
    <mergeCell ref="U25:V25"/>
    <mergeCell ref="N35:U35"/>
    <mergeCell ref="M29:T29"/>
    <mergeCell ref="N27:O27"/>
    <mergeCell ref="P27:Q27"/>
    <mergeCell ref="S27:T27"/>
    <mergeCell ref="U27:V27"/>
    <mergeCell ref="M33:P33"/>
    <mergeCell ref="Q33:T33"/>
    <mergeCell ref="A1:G1"/>
    <mergeCell ref="A33:G33"/>
    <mergeCell ref="M4:T4"/>
    <mergeCell ref="P25:Q25"/>
    <mergeCell ref="S25:T25"/>
    <mergeCell ref="S12:U12"/>
    <mergeCell ref="R13:U13"/>
    <mergeCell ref="R5:U5"/>
    <mergeCell ref="K2:U2"/>
    <mergeCell ref="L8:Q8"/>
    <mergeCell ref="M32:P32"/>
    <mergeCell ref="Q32:T32"/>
    <mergeCell ref="T8:U8"/>
    <mergeCell ref="L20:N20"/>
    <mergeCell ref="L11:N11"/>
    <mergeCell ref="L12:N12"/>
    <mergeCell ref="N5:O5"/>
    <mergeCell ref="K27:L27"/>
    <mergeCell ref="J25:N25"/>
    <mergeCell ref="O3:R3"/>
    <mergeCell ref="S20:U20"/>
    <mergeCell ref="L15:U15"/>
    <mergeCell ref="L6:U6"/>
    <mergeCell ref="S24:U24"/>
    <mergeCell ref="J24:N24"/>
    <mergeCell ref="L9:U9"/>
    <mergeCell ref="L10:U10"/>
    <mergeCell ref="L16:U16"/>
    <mergeCell ref="L22:N22"/>
    <mergeCell ref="S22:U22"/>
    <mergeCell ref="L13:N13"/>
    <mergeCell ref="S11:U11"/>
  </mergeCells>
  <phoneticPr fontId="16" type="noConversion"/>
  <pageMargins left="0.2" right="0.2" top="0.2" bottom="0.2" header="0.51" footer="0.51"/>
  <pageSetup scale="45" orientation="landscape" horizontalDpi="4294967292" verticalDpi="4294967292"/>
  <ignoredErrors>
    <ignoredError sqref="L20" unlockedFormula="1"/>
  </ignoredErrors>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0"/>
  <sheetViews>
    <sheetView showGridLines="0" zoomScale="92" zoomScaleNormal="92" zoomScalePageLayoutView="92" workbookViewId="0">
      <selection activeCell="F11" sqref="F11"/>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28" customWidth="1"/>
    <col min="9" max="9" width="12" customWidth="1"/>
    <col min="18" max="19" width="8.83203125" customWidth="1"/>
  </cols>
  <sheetData>
    <row r="1" spans="1:22" ht="21" thickBot="1" x14ac:dyDescent="0.2">
      <c r="A1" s="140" t="s">
        <v>74</v>
      </c>
      <c r="B1" s="140"/>
      <c r="C1" s="140"/>
      <c r="D1" s="140"/>
      <c r="E1" s="140"/>
      <c r="F1" s="140"/>
      <c r="G1" s="140"/>
      <c r="H1" s="27" t="s">
        <v>29</v>
      </c>
    </row>
    <row r="2" spans="1:22" ht="33.75" customHeight="1" thickBot="1" x14ac:dyDescent="0.25">
      <c r="A2" s="74" t="s">
        <v>30</v>
      </c>
      <c r="B2" s="9" t="s">
        <v>3</v>
      </c>
      <c r="C2" s="9" t="s">
        <v>4</v>
      </c>
      <c r="D2" s="9" t="s">
        <v>25</v>
      </c>
      <c r="E2" s="9" t="s">
        <v>31</v>
      </c>
      <c r="F2" s="9" t="s">
        <v>59</v>
      </c>
      <c r="G2" s="74" t="s">
        <v>32</v>
      </c>
      <c r="H2" s="27" t="s">
        <v>29</v>
      </c>
      <c r="K2" s="145" t="s">
        <v>55</v>
      </c>
      <c r="L2" s="145"/>
      <c r="M2" s="145"/>
      <c r="N2" s="145"/>
      <c r="O2" s="145"/>
      <c r="P2" s="145"/>
      <c r="Q2" s="145"/>
      <c r="R2" s="145"/>
      <c r="S2" s="145"/>
      <c r="T2" s="145"/>
      <c r="U2" s="145"/>
    </row>
    <row r="3" spans="1:22" ht="36" customHeight="1" x14ac:dyDescent="0.45">
      <c r="A3" s="29"/>
      <c r="B3" s="30">
        <f>'Control Entry'!N28</f>
        <v>44786.692361111105</v>
      </c>
      <c r="C3" s="30">
        <f>'Control Entry'!O28</f>
        <v>44787.249305555553</v>
      </c>
      <c r="D3" s="31"/>
      <c r="E3" s="32" t="str">
        <f>IF(ISBLANK('Control Entry'!F28),"",'Control Entry'!F28)</f>
        <v>STAFFED</v>
      </c>
      <c r="F3" s="97" t="str">
        <f>IF(ISBLANK('Control Entry'!I28),"",'Control Entry'!I28)</f>
        <v/>
      </c>
      <c r="G3" s="98"/>
      <c r="H3" s="27" t="s">
        <v>29</v>
      </c>
      <c r="K3" s="14"/>
      <c r="O3" s="129" t="s">
        <v>73</v>
      </c>
      <c r="P3" s="129"/>
      <c r="Q3" s="129"/>
      <c r="R3" s="129"/>
      <c r="S3" s="85" t="str">
        <f>IF('Control Entry'!D28=0,"","#2")</f>
        <v>#2</v>
      </c>
      <c r="U3" s="42"/>
    </row>
    <row r="4" spans="1:22" ht="36" customHeight="1" x14ac:dyDescent="0.2">
      <c r="A4" s="38">
        <f>IF(ISBLANK('Control Entry'!D28),"",'Control Entry'!D28)</f>
        <v>367.3</v>
      </c>
      <c r="B4" s="39">
        <f>'Control Entry'!N28</f>
        <v>44786.692361111105</v>
      </c>
      <c r="C4" s="39">
        <f>'Control Entry'!O28</f>
        <v>44787.249305555553</v>
      </c>
      <c r="D4" s="40" t="str">
        <f>IF(ISBLANK('Control Entry'!E28),"",'Control Entry'!E28)</f>
        <v>NANAIMO</v>
      </c>
      <c r="E4" s="32" t="str">
        <f>IF(ISBLANK('Control Entry'!G28),"",'Control Entry'!G28)</f>
        <v>Bluebird Motel</v>
      </c>
      <c r="F4" s="97" t="str">
        <f>IF(ISBLANK('Control Entry'!J28),"",'Control Entry'!J28)</f>
        <v/>
      </c>
      <c r="G4" s="98"/>
      <c r="H4" s="27" t="s">
        <v>29</v>
      </c>
      <c r="K4" s="14"/>
      <c r="M4" s="126" t="str">
        <f>IF(ISBLANK(brevet),"",brevet&amp;" km Randonnée")</f>
        <v>1000 km Randonnée</v>
      </c>
      <c r="N4" s="126"/>
      <c r="O4" s="126"/>
      <c r="P4" s="126"/>
      <c r="Q4" s="126"/>
      <c r="R4" s="126"/>
      <c r="S4" s="126"/>
      <c r="T4" s="126"/>
      <c r="U4" s="43"/>
    </row>
    <row r="5" spans="1:22" ht="36" customHeight="1" thickBot="1" x14ac:dyDescent="0.25">
      <c r="A5" s="33"/>
      <c r="B5" s="34">
        <f>'Control Entry'!N28</f>
        <v>44786.692361111105</v>
      </c>
      <c r="C5" s="34">
        <f>'Control Entry'!O28</f>
        <v>44787.249305555553</v>
      </c>
      <c r="D5" s="35"/>
      <c r="E5" s="36" t="str">
        <f>IF(ISBLANK('Control Entry'!H28),"",'Control Entry'!H28)</f>
        <v>995 Terminal Ave. N.</v>
      </c>
      <c r="F5" s="102" t="str">
        <f>IF(ISBLANK('Control Entry'!K28),"",'Control Entry'!K28)</f>
        <v/>
      </c>
      <c r="G5" s="101"/>
      <c r="H5" s="27" t="s">
        <v>29</v>
      </c>
      <c r="K5" s="14"/>
      <c r="M5" s="15"/>
      <c r="N5" s="125" t="s">
        <v>47</v>
      </c>
      <c r="O5" s="125"/>
      <c r="P5" s="61">
        <f>IF(ISBLANK(Brevet_Number),"",Brevet_Number)</f>
        <v>5163</v>
      </c>
      <c r="Q5" s="62"/>
      <c r="R5" s="144">
        <f>IF(ISBLANK('Control Entry'!$B10),"",'Control Entry'!$B10)</f>
        <v>44786</v>
      </c>
      <c r="S5" s="144"/>
      <c r="T5" s="144"/>
      <c r="U5" s="144"/>
      <c r="V5" s="44"/>
    </row>
    <row r="6" spans="1:22" ht="36" customHeight="1" x14ac:dyDescent="0.2">
      <c r="A6" s="29"/>
      <c r="B6" s="30">
        <f>'Control Entry'!N29</f>
        <v>44786.758333333331</v>
      </c>
      <c r="C6" s="30">
        <f>'Control Entry'!O29</f>
        <v>44787.38680555555</v>
      </c>
      <c r="D6" s="37"/>
      <c r="E6" s="32" t="str">
        <f>IF(ISBLANK('Control Entry'!F29),"",'Control Entry'!F29)</f>
        <v>INFORMATION</v>
      </c>
      <c r="F6" s="97" t="str">
        <f>IF(ISBLANK('Control Entry'!I29),"",'Control Entry'!I29)</f>
        <v>Tree left side of entrance</v>
      </c>
      <c r="G6" s="98"/>
      <c r="H6" s="27" t="s">
        <v>29</v>
      </c>
      <c r="K6" s="14"/>
      <c r="L6" s="132" t="str">
        <f>IF(ISBLANK(Brevet_Description),"",Brevet_Description)</f>
        <v>Bridges and Ferry Tour</v>
      </c>
      <c r="M6" s="132"/>
      <c r="N6" s="132"/>
      <c r="O6" s="132"/>
      <c r="P6" s="132"/>
      <c r="Q6" s="132"/>
      <c r="R6" s="132"/>
      <c r="S6" s="132"/>
      <c r="T6" s="132"/>
      <c r="U6" s="132"/>
    </row>
    <row r="7" spans="1:22" ht="36" customHeight="1" x14ac:dyDescent="0.2">
      <c r="A7" s="38">
        <f>IF(ISBLANK('Control Entry'!D29),"",'Control Entry'!D29)</f>
        <v>416.8</v>
      </c>
      <c r="B7" s="39">
        <f>'Control Entry'!N29</f>
        <v>44786.758333333331</v>
      </c>
      <c r="C7" s="39">
        <f>'Control Entry'!O29</f>
        <v>44787.38680555555</v>
      </c>
      <c r="D7" s="40" t="str">
        <f>IF(ISBLANK('Control Entry'!E29),"",'Control Entry'!E29)</f>
        <v>COOMBS</v>
      </c>
      <c r="E7" s="32" t="str">
        <f>IF(ISBLANK('Control Entry'!G29),"",'Control Entry'!G29)</f>
        <v>Tibetan Buddhist Centre</v>
      </c>
      <c r="F7" s="99" t="str">
        <f>IF(ISBLANK('Control Entry'!J29),"",'Control Entry'!J29)</f>
        <v>How many hearts?</v>
      </c>
      <c r="G7" s="98"/>
      <c r="H7" s="27" t="s">
        <v>29</v>
      </c>
    </row>
    <row r="8" spans="1:22" ht="36" customHeight="1" thickBot="1" x14ac:dyDescent="0.25">
      <c r="A8" s="33"/>
      <c r="B8" s="34">
        <f>'Control Entry'!N29</f>
        <v>44786.758333333331</v>
      </c>
      <c r="C8" s="34">
        <f>'Control Entry'!O29</f>
        <v>44787.38680555555</v>
      </c>
      <c r="D8" s="35"/>
      <c r="E8" s="36" t="str">
        <f>IF(ISBLANK('Control Entry'!H29),"",'Control Entry'!H29)</f>
        <v>2800 Grafon Ave.</v>
      </c>
      <c r="F8" s="114" t="str">
        <f>IF(ISBLANK('Control Entry'!K29),"",'Control Entry'!K29)</f>
        <v>1          2          3</v>
      </c>
      <c r="G8" s="101"/>
      <c r="H8" s="27" t="s">
        <v>29</v>
      </c>
      <c r="J8" s="15" t="s">
        <v>34</v>
      </c>
      <c r="L8" s="146"/>
      <c r="M8" s="146"/>
      <c r="N8" s="146"/>
      <c r="O8" s="146"/>
      <c r="P8" s="146"/>
      <c r="Q8" s="146"/>
      <c r="R8" s="28"/>
      <c r="S8" s="45" t="s">
        <v>46</v>
      </c>
      <c r="T8" s="153"/>
      <c r="U8" s="153"/>
    </row>
    <row r="9" spans="1:22" ht="36" customHeight="1" thickBot="1" x14ac:dyDescent="0.3">
      <c r="A9" s="29"/>
      <c r="B9" s="30">
        <f>'Control Entry'!N30</f>
        <v>44786.865277777775</v>
      </c>
      <c r="C9" s="30">
        <f>'Control Entry'!O30</f>
        <v>44787.602083333331</v>
      </c>
      <c r="D9" s="37"/>
      <c r="E9" s="32" t="str">
        <f>IF(ISBLANK('Control Entry'!F30),"",'Control Entry'!F30)</f>
        <v>INFORMATION</v>
      </c>
      <c r="F9" s="97" t="str">
        <f>IF(ISBLANK('Control Entry'!I30),"",'Control Entry'!I30)</f>
        <v>Chalkboard is on which side of serving window?</v>
      </c>
      <c r="G9" s="98"/>
      <c r="H9" s="27" t="s">
        <v>29</v>
      </c>
      <c r="J9" s="15" t="s">
        <v>35</v>
      </c>
      <c r="K9" s="15"/>
      <c r="L9" s="134" t="s">
        <v>54</v>
      </c>
      <c r="M9" s="134"/>
      <c r="N9" s="134"/>
      <c r="O9" s="134"/>
      <c r="P9" s="134"/>
      <c r="Q9" s="134"/>
      <c r="R9" s="134"/>
      <c r="S9" s="134"/>
      <c r="T9" s="134"/>
      <c r="U9" s="134"/>
    </row>
    <row r="10" spans="1:22" ht="36" customHeight="1" thickBot="1" x14ac:dyDescent="0.3">
      <c r="A10" s="38">
        <f>IF(ISBLANK('Control Entry'!D30),"",'Control Entry'!D30)</f>
        <v>494.2</v>
      </c>
      <c r="B10" s="39">
        <f>'Control Entry'!N30</f>
        <v>44786.865277777775</v>
      </c>
      <c r="C10" s="39">
        <f>'Control Entry'!O30</f>
        <v>44787.602083333331</v>
      </c>
      <c r="D10" s="40" t="str">
        <f>IF(ISBLANK('Control Entry'!E30),"",'Control Entry'!E30)</f>
        <v>CUMBERLAND</v>
      </c>
      <c r="E10" s="53" t="str">
        <f>IF(ISBLANK('Control Entry'!G30),"",'Control Entry'!G30)</f>
        <v>Beach food concession</v>
      </c>
      <c r="F10" s="99" t="str">
        <f>IF(ISBLANK('Control Entry'!J30),"",'Control Entry'!J30)</f>
        <v/>
      </c>
      <c r="G10" s="98"/>
      <c r="H10" s="27" t="s">
        <v>29</v>
      </c>
      <c r="J10" s="15"/>
      <c r="K10" s="15"/>
      <c r="L10" s="135"/>
      <c r="M10" s="135"/>
      <c r="N10" s="135"/>
      <c r="O10" s="135"/>
      <c r="P10" s="135"/>
      <c r="Q10" s="135"/>
      <c r="R10" s="135"/>
      <c r="S10" s="135"/>
      <c r="T10" s="135"/>
      <c r="U10" s="135"/>
    </row>
    <row r="11" spans="1:22" ht="36" customHeight="1" thickBot="1" x14ac:dyDescent="0.3">
      <c r="A11" s="33"/>
      <c r="B11" s="34">
        <f>'Control Entry'!N30</f>
        <v>44786.865277777775</v>
      </c>
      <c r="C11" s="34">
        <f>'Control Entry'!O30</f>
        <v>44787.602083333331</v>
      </c>
      <c r="D11" s="35"/>
      <c r="E11" s="36" t="str">
        <f>IF(ISBLANK('Control Entry'!H30),"",'Control Entry'!H30)</f>
        <v>Lake Park Campground</v>
      </c>
      <c r="F11" s="114" t="str">
        <f>IF(ISBLANK('Control Entry'!K30),"",'Control Entry'!K30)</f>
        <v>LEFT       RIGHT</v>
      </c>
      <c r="G11" s="101"/>
      <c r="H11" s="27" t="s">
        <v>29</v>
      </c>
      <c r="J11" s="15" t="s">
        <v>36</v>
      </c>
      <c r="K11" s="15"/>
      <c r="L11" s="135"/>
      <c r="M11" s="135"/>
      <c r="N11" s="135"/>
      <c r="O11" s="18"/>
      <c r="P11" s="18" t="s">
        <v>37</v>
      </c>
      <c r="Q11" s="18"/>
      <c r="R11" s="18"/>
      <c r="S11" s="139"/>
      <c r="T11" s="139"/>
      <c r="U11" s="139"/>
    </row>
    <row r="12" spans="1:22" ht="36" customHeight="1" thickBot="1" x14ac:dyDescent="0.3">
      <c r="A12" s="29"/>
      <c r="B12" s="30">
        <f>'Control Entry'!N31</f>
        <v>44786.902777777774</v>
      </c>
      <c r="C12" s="30">
        <f>'Control Entry'!O31</f>
        <v>44787.676388888889</v>
      </c>
      <c r="D12" s="37"/>
      <c r="E12" s="32" t="str">
        <f>IF(ISBLANK('Control Entry'!F31),"",'Control Entry'!F31)</f>
        <v>INFORMATION</v>
      </c>
      <c r="F12" s="97" t="str">
        <f>IF(ISBLANK('Control Entry'!I31),"",'Control Entry'!I31)</f>
        <v>Bike rack</v>
      </c>
      <c r="G12" s="98"/>
      <c r="H12" s="27" t="s">
        <v>29</v>
      </c>
      <c r="J12" s="15" t="s">
        <v>38</v>
      </c>
      <c r="K12" s="15"/>
      <c r="L12" s="135"/>
      <c r="M12" s="135"/>
      <c r="N12" s="135"/>
      <c r="O12" s="18"/>
      <c r="P12" s="18" t="s">
        <v>39</v>
      </c>
      <c r="Q12" s="18"/>
      <c r="R12" s="18"/>
      <c r="S12" s="139"/>
      <c r="T12" s="139"/>
      <c r="U12" s="139"/>
    </row>
    <row r="13" spans="1:22" ht="36" customHeight="1" thickBot="1" x14ac:dyDescent="0.3">
      <c r="A13" s="38">
        <f>IF(ISBLANK('Control Entry'!D31),"",'Control Entry'!D31)</f>
        <v>521</v>
      </c>
      <c r="B13" s="39">
        <f>'Control Entry'!N31</f>
        <v>44786.902777777774</v>
      </c>
      <c r="C13" s="39">
        <f>'Control Entry'!O31</f>
        <v>44787.676388888889</v>
      </c>
      <c r="D13" s="40" t="str">
        <f>IF(ISBLANK('Control Entry'!E31),"",'Control Entry'!E31)</f>
        <v>LAZO</v>
      </c>
      <c r="E13" s="32" t="str">
        <f>IF(ISBLANK('Control Entry'!G31),"",'Control Entry'!G31)</f>
        <v>Comox Air Force Musem</v>
      </c>
      <c r="F13" s="99" t="str">
        <f>IF(ISBLANK('Control Entry'!J31),"",'Control Entry'!J31)</f>
        <v>How many hangers?</v>
      </c>
      <c r="G13" s="98"/>
      <c r="H13" s="27" t="s">
        <v>29</v>
      </c>
      <c r="J13" s="15" t="s">
        <v>40</v>
      </c>
      <c r="L13" s="138"/>
      <c r="M13" s="138"/>
      <c r="N13" s="138"/>
      <c r="O13" s="19"/>
      <c r="P13" s="18" t="s">
        <v>41</v>
      </c>
      <c r="Q13" s="18"/>
      <c r="R13" s="143"/>
      <c r="S13" s="143"/>
      <c r="T13" s="143"/>
      <c r="U13" s="143"/>
    </row>
    <row r="14" spans="1:22" ht="36" customHeight="1" thickBot="1" x14ac:dyDescent="0.25">
      <c r="A14" s="33"/>
      <c r="B14" s="34">
        <f>'Control Entry'!N31</f>
        <v>44786.902777777774</v>
      </c>
      <c r="C14" s="34">
        <f>'Control Entry'!O31</f>
        <v>44787.676388888889</v>
      </c>
      <c r="D14" s="35"/>
      <c r="E14" s="36" t="str">
        <f>IF(ISBLANK('Control Entry'!H31),"",'Control Entry'!H31)</f>
        <v>Military Row @ Ryan Rd</v>
      </c>
      <c r="F14" s="114" t="str">
        <f>IF(ISBLANK('Control Entry'!K31),"",'Control Entry'!K31)</f>
        <v>1          2          3</v>
      </c>
      <c r="G14" s="101"/>
      <c r="H14" s="27" t="s">
        <v>29</v>
      </c>
    </row>
    <row r="15" spans="1:22" ht="36" customHeight="1" x14ac:dyDescent="0.2">
      <c r="A15" s="29"/>
      <c r="B15" s="30">
        <f>'Control Entry'!N32</f>
        <v>44786.971527777772</v>
      </c>
      <c r="C15" s="30">
        <f>'Control Entry'!O32</f>
        <v>44787.814583333333</v>
      </c>
      <c r="D15" s="37"/>
      <c r="E15" s="32" t="str">
        <f>IF(ISBLANK('Control Entry'!F32),"",'Control Entry'!F32)</f>
        <v>STAFFED</v>
      </c>
      <c r="F15" s="97" t="str">
        <f>IF(ISBLANK('Control Entry'!I32),"",'Control Entry'!I32)</f>
        <v/>
      </c>
      <c r="G15" s="98"/>
      <c r="H15" s="27" t="s">
        <v>29</v>
      </c>
      <c r="J15" s="15"/>
      <c r="L15" s="131" t="s">
        <v>58</v>
      </c>
      <c r="M15" s="131"/>
      <c r="N15" s="131"/>
      <c r="O15" s="131"/>
      <c r="P15" s="131"/>
      <c r="Q15" s="131"/>
      <c r="R15" s="131"/>
      <c r="S15" s="131"/>
      <c r="T15" s="131"/>
      <c r="U15" s="131"/>
    </row>
    <row r="16" spans="1:22" ht="36" customHeight="1" thickBot="1" x14ac:dyDescent="0.25">
      <c r="A16" s="38">
        <f>IF(ISBLANK('Control Entry'!D32),"",'Control Entry'!D32)</f>
        <v>570.70000000000005</v>
      </c>
      <c r="B16" s="39">
        <f>'Control Entry'!N32</f>
        <v>44786.971527777772</v>
      </c>
      <c r="C16" s="39">
        <f>'Control Entry'!O32</f>
        <v>44787.814583333333</v>
      </c>
      <c r="D16" s="40" t="str">
        <f>IF(ISBLANK('Control Entry'!E32),"",'Control Entry'!E32)</f>
        <v>CAMPBELL RIVER</v>
      </c>
      <c r="E16" s="32" t="str">
        <f>IF(ISBLANK('Control Entry'!G32),"",'Control Entry'!G32)</f>
        <v>50th Parallel Monument</v>
      </c>
      <c r="F16" s="97" t="str">
        <f>IF(ISBLANK('Control Entry'!J32),"",'Control Entry'!J32)</f>
        <v/>
      </c>
      <c r="G16" s="98"/>
      <c r="H16" s="27" t="s">
        <v>29</v>
      </c>
      <c r="L16" s="136"/>
      <c r="M16" s="136"/>
      <c r="N16" s="136"/>
      <c r="O16" s="136"/>
      <c r="P16" s="136"/>
      <c r="Q16" s="136"/>
      <c r="R16" s="136"/>
      <c r="S16" s="136"/>
      <c r="T16" s="136"/>
      <c r="U16" s="136"/>
    </row>
    <row r="17" spans="1:22" ht="36" customHeight="1" thickBot="1" x14ac:dyDescent="0.25">
      <c r="A17" s="33"/>
      <c r="B17" s="34">
        <f>'Control Entry'!N32</f>
        <v>44786.971527777772</v>
      </c>
      <c r="C17" s="34">
        <f>'Control Entry'!O32</f>
        <v>44787.814583333333</v>
      </c>
      <c r="D17" s="35"/>
      <c r="E17" s="36" t="str">
        <f>IF(ISBLANK('Control Entry'!H32),"",'Control Entry'!H32)</f>
        <v>414 Island Hwy S.</v>
      </c>
      <c r="F17" s="102" t="str">
        <f>IF(ISBLANK('Control Entry'!K32),"",'Control Entry'!K32)</f>
        <v/>
      </c>
      <c r="G17" s="101"/>
      <c r="H17" s="27" t="s">
        <v>29</v>
      </c>
    </row>
    <row r="18" spans="1:22" ht="36" customHeight="1" x14ac:dyDescent="0.2">
      <c r="A18" s="29"/>
      <c r="B18" s="30">
        <f>'Control Entry'!N33</f>
        <v>44787.071527777778</v>
      </c>
      <c r="C18" s="30">
        <f>'Control Entry'!O33</f>
        <v>44788.040277777778</v>
      </c>
      <c r="D18" s="37"/>
      <c r="E18" s="32" t="str">
        <f>IF(ISBLANK('Control Entry'!F33),"",'Control Entry'!F33)</f>
        <v>INFORMATION</v>
      </c>
      <c r="F18" s="97" t="str">
        <f>IF(ISBLANK('Control Entry'!I33),"",'Control Entry'!I33)</f>
        <v>Info sign to right of washroom</v>
      </c>
      <c r="G18" s="98"/>
      <c r="H18" s="27" t="s">
        <v>29</v>
      </c>
    </row>
    <row r="19" spans="1:22" ht="36" customHeight="1" x14ac:dyDescent="0.2">
      <c r="A19" s="38">
        <f>IF(ISBLANK('Control Entry'!D33),"",'Control Entry'!D33)</f>
        <v>639.70000000000005</v>
      </c>
      <c r="B19" s="39">
        <f>'Control Entry'!N33</f>
        <v>44787.071527777778</v>
      </c>
      <c r="C19" s="39">
        <f>'Control Entry'!O33</f>
        <v>44788.040277777778</v>
      </c>
      <c r="D19" s="40" t="str">
        <f>IF(ISBLANK('Control Entry'!E33),"",'Control Entry'!E33)</f>
        <v>BUCKLEY BAY</v>
      </c>
      <c r="E19" s="32" t="str">
        <f>IF(ISBLANK('Control Entry'!G33),"",'Control Entry'!G33)</f>
        <v>Rest Area</v>
      </c>
      <c r="F19" s="99" t="str">
        <f>IF(ISBLANK('Control Entry'!J33),"",'Control Entry'!J33)</f>
        <v>Historical photos are on which panel?</v>
      </c>
      <c r="G19" s="98"/>
      <c r="H19" s="27" t="s">
        <v>29</v>
      </c>
    </row>
    <row r="20" spans="1:22" ht="36" customHeight="1" thickBot="1" x14ac:dyDescent="0.25">
      <c r="A20" s="33"/>
      <c r="B20" s="34">
        <f>'Control Entry'!N33</f>
        <v>44787.071527777778</v>
      </c>
      <c r="C20" s="34">
        <f>'Control Entry'!O33</f>
        <v>44788.040277777778</v>
      </c>
      <c r="D20" s="35"/>
      <c r="E20" s="36" t="str">
        <f>IF(ISBLANK('Control Entry'!H33),"",'Control Entry'!H33)</f>
        <v>6866 Buckley Bay Rd</v>
      </c>
      <c r="F20" s="114" t="str">
        <f>IF(ISBLANK('Control Entry'!K33),"",'Control Entry'!K33)</f>
        <v>LEFT     CENTRE       RIGHT</v>
      </c>
      <c r="G20" s="101"/>
      <c r="H20" s="27" t="s">
        <v>29</v>
      </c>
      <c r="J20" s="59" t="s">
        <v>44</v>
      </c>
      <c r="K20" s="59"/>
      <c r="L20" s="161">
        <f>IF(ISBLANK('Control Entry'!B12),"",'Control Entry'!B12)</f>
        <v>44786</v>
      </c>
      <c r="M20" s="161"/>
      <c r="N20" s="161"/>
      <c r="P20" s="18" t="s">
        <v>0</v>
      </c>
      <c r="Q20" s="18"/>
      <c r="S20" s="130">
        <f>IF(ISBLANK('Control Entry'!B13),"",'Control Entry'!B13)</f>
        <v>0.22916666666666666</v>
      </c>
      <c r="T20" s="130"/>
      <c r="U20" s="130"/>
    </row>
    <row r="21" spans="1:22" ht="36" customHeight="1" x14ac:dyDescent="0.2">
      <c r="A21" s="29"/>
      <c r="B21" s="30">
        <f>'Control Entry'!N34</f>
        <v>44787.201388888883</v>
      </c>
      <c r="C21" s="30">
        <f>'Control Entry'!O34</f>
        <v>44788.359027777777</v>
      </c>
      <c r="D21" s="37"/>
      <c r="E21" s="32" t="str">
        <f>IF(ISBLANK('Control Entry'!F34),"",'Control Entry'!F34)</f>
        <v>STAFFED</v>
      </c>
      <c r="F21" s="97" t="str">
        <f>IF(ISBLANK('Control Entry'!I34),"",'Control Entry'!I34)</f>
        <v/>
      </c>
      <c r="G21" s="98"/>
      <c r="H21" s="27" t="s">
        <v>29</v>
      </c>
      <c r="J21" s="160" t="s">
        <v>90</v>
      </c>
      <c r="K21" s="160"/>
      <c r="L21" s="160"/>
      <c r="M21" s="160"/>
      <c r="N21" s="160"/>
      <c r="O21" s="160"/>
      <c r="P21" s="160"/>
      <c r="Q21" s="160"/>
      <c r="R21" s="160"/>
      <c r="S21" s="160"/>
      <c r="T21" s="160"/>
      <c r="U21" s="160"/>
      <c r="V21" s="28"/>
    </row>
    <row r="22" spans="1:22" ht="36" customHeight="1" thickBot="1" x14ac:dyDescent="0.25">
      <c r="A22" s="38">
        <f>IF(ISBLANK('Control Entry'!D34),"",'Control Entry'!D34)</f>
        <v>727.1</v>
      </c>
      <c r="B22" s="39">
        <f>'Control Entry'!N34</f>
        <v>44787.201388888883</v>
      </c>
      <c r="C22" s="39">
        <f>'Control Entry'!O34</f>
        <v>44788.359027777777</v>
      </c>
      <c r="D22" s="40" t="str">
        <f>IF(ISBLANK('Control Entry'!E34),"",'Control Entry'!E34)</f>
        <v>NANAIMO</v>
      </c>
      <c r="E22" s="32" t="str">
        <f>IF(ISBLANK('Control Entry'!G34),"",'Control Entry'!G34)</f>
        <v>Bluebird Motel</v>
      </c>
      <c r="F22" s="97" t="str">
        <f>IF(ISBLANK('Control Entry'!J34),"",'Control Entry'!J34)</f>
        <v/>
      </c>
      <c r="G22" s="98"/>
      <c r="H22" s="27" t="s">
        <v>29</v>
      </c>
      <c r="J22" s="81" t="s">
        <v>45</v>
      </c>
      <c r="K22" s="81"/>
      <c r="L22" s="137"/>
      <c r="M22" s="137"/>
      <c r="N22" s="137"/>
      <c r="O22" s="19"/>
      <c r="P22" s="18" t="s">
        <v>1</v>
      </c>
      <c r="Q22" s="18"/>
      <c r="R22" s="19"/>
      <c r="S22" s="133"/>
      <c r="T22" s="133"/>
      <c r="U22" s="133"/>
    </row>
    <row r="23" spans="1:22" ht="36" customHeight="1" thickBot="1" x14ac:dyDescent="0.25">
      <c r="A23" s="33"/>
      <c r="B23" s="34">
        <f>'Control Entry'!N34</f>
        <v>44787.201388888883</v>
      </c>
      <c r="C23" s="34">
        <f>'Control Entry'!O34</f>
        <v>44788.359027777777</v>
      </c>
      <c r="D23" s="35"/>
      <c r="E23" s="36" t="str">
        <f>IF(ISBLANK('Control Entry'!H34),"",'Control Entry'!H34)</f>
        <v>995 Terminal Ave. N.</v>
      </c>
      <c r="F23" s="102" t="str">
        <f>IF(ISBLANK('Control Entry'!K34),"",'Control Entry'!K34)</f>
        <v/>
      </c>
      <c r="G23" s="101"/>
      <c r="H23" s="27" t="s">
        <v>29</v>
      </c>
      <c r="J23" s="81"/>
      <c r="K23" s="81"/>
      <c r="L23" s="57"/>
      <c r="M23" s="57"/>
      <c r="N23" s="57"/>
      <c r="O23" s="22"/>
      <c r="P23" s="56"/>
      <c r="Q23" s="56"/>
      <c r="R23" s="22"/>
      <c r="S23" s="22"/>
      <c r="T23" s="22"/>
      <c r="U23" s="22"/>
      <c r="V23" s="28"/>
    </row>
    <row r="24" spans="1:22" ht="36" customHeight="1" thickBot="1" x14ac:dyDescent="0.25">
      <c r="A24" s="29"/>
      <c r="B24" s="30" t="str">
        <f>'Control Entry'!N35</f>
        <v/>
      </c>
      <c r="C24" s="30" t="str">
        <f>'Control Entry'!O35</f>
        <v/>
      </c>
      <c r="D24" s="37"/>
      <c r="E24" s="32" t="str">
        <f>IF(ISBLANK('Control Entry'!F35),"",'Control Entry'!F35)</f>
        <v/>
      </c>
      <c r="F24" s="97" t="str">
        <f>IF(ISBLANK('Control Entry'!I35),"",'Control Entry'!I35)</f>
        <v/>
      </c>
      <c r="G24" s="98"/>
      <c r="H24" s="27" t="s">
        <v>29</v>
      </c>
      <c r="J24" s="133"/>
      <c r="K24" s="133"/>
      <c r="L24" s="133"/>
      <c r="M24" s="133"/>
      <c r="N24" s="133"/>
      <c r="O24" s="19"/>
      <c r="P24" s="18" t="s">
        <v>2</v>
      </c>
      <c r="Q24" s="18"/>
      <c r="R24" s="19"/>
      <c r="S24" s="133"/>
      <c r="T24" s="133"/>
      <c r="U24" s="133"/>
    </row>
    <row r="25" spans="1:22" ht="36" customHeight="1" x14ac:dyDescent="0.2">
      <c r="A25" s="38" t="str">
        <f>IF(ISBLANK('Control Entry'!D35),"",'Control Entry'!D35)</f>
        <v/>
      </c>
      <c r="B25" s="39" t="str">
        <f>'Control Entry'!N35</f>
        <v/>
      </c>
      <c r="C25" s="39" t="str">
        <f>'Control Entry'!O35</f>
        <v/>
      </c>
      <c r="D25" s="40" t="str">
        <f>IF(ISBLANK('Control Entry'!E35),"",'Control Entry'!E35)</f>
        <v/>
      </c>
      <c r="E25" s="32" t="str">
        <f>IF(ISBLANK('Control Entry'!G35),"",'Control Entry'!G35)</f>
        <v/>
      </c>
      <c r="F25" s="97" t="str">
        <f>IF(ISBLANK('Control Entry'!J35),"",'Control Entry'!J35)</f>
        <v/>
      </c>
      <c r="G25" s="98"/>
      <c r="H25" s="27" t="s">
        <v>29</v>
      </c>
      <c r="J25" s="128" t="s">
        <v>17</v>
      </c>
      <c r="K25" s="128"/>
      <c r="L25" s="128"/>
      <c r="M25" s="128"/>
      <c r="N25" s="128"/>
      <c r="O25" s="51"/>
      <c r="P25" s="127"/>
      <c r="Q25" s="127"/>
      <c r="R25" s="51"/>
      <c r="S25" s="142"/>
      <c r="T25" s="142"/>
      <c r="U25" s="142"/>
      <c r="V25" s="142"/>
    </row>
    <row r="26" spans="1:22" ht="36" customHeight="1" thickBot="1" x14ac:dyDescent="0.25">
      <c r="A26" s="33"/>
      <c r="B26" s="34" t="str">
        <f>'Control Entry'!N35</f>
        <v/>
      </c>
      <c r="C26" s="34" t="str">
        <f>'Control Entry'!O35</f>
        <v/>
      </c>
      <c r="D26" s="35"/>
      <c r="E26" s="36" t="str">
        <f>IF(ISBLANK('Control Entry'!H35),"",'Control Entry'!H35)</f>
        <v/>
      </c>
      <c r="F26" s="102" t="str">
        <f>IF(ISBLANK('Control Entry'!K35),"",'Control Entry'!K35)</f>
        <v/>
      </c>
      <c r="G26" s="101"/>
      <c r="H26" s="27" t="s">
        <v>29</v>
      </c>
    </row>
    <row r="27" spans="1:22" ht="36" customHeight="1" x14ac:dyDescent="0.2">
      <c r="A27" s="29"/>
      <c r="B27" s="30" t="str">
        <f>'Control Entry'!N36</f>
        <v/>
      </c>
      <c r="C27" s="30" t="str">
        <f>'Control Entry'!O36</f>
        <v/>
      </c>
      <c r="D27" s="37"/>
      <c r="E27" s="32" t="str">
        <f>IF(ISBLANK('Control Entry'!F36),"",'Control Entry'!F36)</f>
        <v>STAFFED</v>
      </c>
      <c r="F27" s="97" t="str">
        <f>IF(ISBLANK('Control Entry'!I36),"",'Control Entry'!I36)</f>
        <v/>
      </c>
      <c r="G27" s="98"/>
      <c r="H27" s="27" t="s">
        <v>29</v>
      </c>
      <c r="K27" s="126" t="s">
        <v>56</v>
      </c>
      <c r="L27" s="127"/>
      <c r="M27" s="50" t="s">
        <v>57</v>
      </c>
      <c r="N27" s="127" t="s">
        <v>49</v>
      </c>
      <c r="O27" s="127"/>
      <c r="P27" s="127" t="s">
        <v>50</v>
      </c>
      <c r="Q27" s="127"/>
      <c r="R27" s="51" t="s">
        <v>51</v>
      </c>
      <c r="S27" s="142" t="s">
        <v>52</v>
      </c>
      <c r="T27" s="142"/>
      <c r="U27" s="142" t="s">
        <v>53</v>
      </c>
      <c r="V27" s="142"/>
    </row>
    <row r="28" spans="1:22" ht="36" customHeight="1" x14ac:dyDescent="0.2">
      <c r="A28" s="38" t="str">
        <f>IF(ISBLANK('Control Entry'!D36),"",'Control Entry'!D36)</f>
        <v/>
      </c>
      <c r="B28" s="39" t="str">
        <f>'Control Entry'!N36</f>
        <v/>
      </c>
      <c r="C28" s="39" t="str">
        <f>'Control Entry'!O36</f>
        <v/>
      </c>
      <c r="D28" s="40" t="str">
        <f>IF(ISBLANK('Control Entry'!E36),"",'Control Entry'!E36)</f>
        <v>Secret</v>
      </c>
      <c r="E28" s="32" t="str">
        <f>IF(ISBLANK('Control Entry'!G36),"",'Control Entry'!G36)</f>
        <v/>
      </c>
      <c r="F28" s="97" t="str">
        <f>IF(ISBLANK('Control Entry'!J36),"",'Control Entry'!J36)</f>
        <v/>
      </c>
      <c r="G28" s="98"/>
      <c r="H28" s="27" t="s">
        <v>29</v>
      </c>
    </row>
    <row r="29" spans="1:22" ht="36" customHeight="1" thickBot="1" x14ac:dyDescent="0.25">
      <c r="A29" s="33"/>
      <c r="B29" s="34" t="str">
        <f>'Control Entry'!N36</f>
        <v/>
      </c>
      <c r="C29" s="34" t="str">
        <f>'Control Entry'!O36</f>
        <v/>
      </c>
      <c r="D29" s="35"/>
      <c r="E29" s="36" t="str">
        <f>IF(ISBLANK('Control Entry'!H36),"",'Control Entry'!H36)</f>
        <v/>
      </c>
      <c r="F29" s="102" t="str">
        <f>IF(ISBLANK('Control Entry'!K36),"",'Control Entry'!K36)</f>
        <v/>
      </c>
      <c r="G29" s="101"/>
      <c r="H29" s="27" t="s">
        <v>29</v>
      </c>
      <c r="M29" s="155" t="s">
        <v>42</v>
      </c>
      <c r="N29" s="155"/>
      <c r="O29" s="155"/>
      <c r="P29" s="155"/>
      <c r="Q29" s="155"/>
      <c r="R29" s="155"/>
      <c r="S29" s="155"/>
      <c r="T29" s="155"/>
      <c r="U29" s="54"/>
    </row>
    <row r="30" spans="1:22" ht="36" customHeight="1" x14ac:dyDescent="0.2">
      <c r="A30" s="29"/>
      <c r="B30" s="30" t="str">
        <f>'Control Entry'!N37</f>
        <v/>
      </c>
      <c r="C30" s="30" t="str">
        <f>'Control Entry'!O37</f>
        <v/>
      </c>
      <c r="D30" s="37"/>
      <c r="E30" s="32" t="str">
        <f>IF(ISBLANK('Control Entry'!F37),"",'Control Entry'!F37)</f>
        <v/>
      </c>
      <c r="F30" s="97" t="str">
        <f>IF(ISBLANK('Control Entry'!I37),"",'Control Entry'!I37)</f>
        <v/>
      </c>
      <c r="G30" s="98"/>
      <c r="H30" s="27" t="s">
        <v>29</v>
      </c>
      <c r="M30" s="16"/>
      <c r="N30" s="20"/>
      <c r="O30" s="20"/>
      <c r="P30" s="21"/>
      <c r="Q30" s="104"/>
      <c r="R30" s="20"/>
      <c r="S30" s="20"/>
      <c r="T30" s="21"/>
      <c r="U30" s="22"/>
    </row>
    <row r="31" spans="1:22" ht="36" customHeight="1" x14ac:dyDescent="0.2">
      <c r="A31" s="38" t="str">
        <f>IF(ISBLANK('Control Entry'!D37),"",'Control Entry'!D37)</f>
        <v/>
      </c>
      <c r="B31" s="39" t="str">
        <f>'Control Entry'!N37</f>
        <v/>
      </c>
      <c r="C31" s="39" t="str">
        <f>'Control Entry'!O37</f>
        <v/>
      </c>
      <c r="D31" s="40" t="str">
        <f>IF(ISBLANK('Control Entry'!E37),"",'Control Entry'!E37)</f>
        <v/>
      </c>
      <c r="E31" s="32" t="str">
        <f>IF(ISBLANK('Control Entry'!G37),"",'Control Entry'!G37)</f>
        <v/>
      </c>
      <c r="F31" s="97" t="str">
        <f>IF(ISBLANK('Control Entry'!J37),"",'Control Entry'!J37)</f>
        <v/>
      </c>
      <c r="G31" s="98"/>
      <c r="H31" s="27" t="s">
        <v>29</v>
      </c>
      <c r="M31" s="17"/>
      <c r="N31" s="22"/>
      <c r="O31" s="22"/>
      <c r="P31" s="23"/>
      <c r="Q31" s="105"/>
      <c r="R31" s="22"/>
      <c r="S31" s="22"/>
      <c r="T31" s="23"/>
      <c r="U31" s="22"/>
    </row>
    <row r="32" spans="1:22" ht="36" customHeight="1" thickBot="1" x14ac:dyDescent="0.25">
      <c r="A32" s="33"/>
      <c r="B32" s="34" t="str">
        <f>'Control Entry'!N37</f>
        <v/>
      </c>
      <c r="C32" s="34" t="str">
        <f>'Control Entry'!O37</f>
        <v/>
      </c>
      <c r="D32" s="35"/>
      <c r="E32" s="36" t="str">
        <f>IF(ISBLANK('Control Entry'!H37),"",'Control Entry'!H37)</f>
        <v/>
      </c>
      <c r="F32" s="102" t="str">
        <f>IF(ISBLANK('Control Entry'!K37),"",'Control Entry'!K37)</f>
        <v/>
      </c>
      <c r="G32" s="101"/>
      <c r="H32" s="27" t="s">
        <v>29</v>
      </c>
      <c r="M32" s="147" t="s">
        <v>82</v>
      </c>
      <c r="N32" s="148"/>
      <c r="O32" s="148"/>
      <c r="P32" s="149"/>
      <c r="Q32" s="150">
        <f>'Control Entry'!B3</f>
        <v>44700</v>
      </c>
      <c r="R32" s="151"/>
      <c r="S32" s="151"/>
      <c r="T32" s="152"/>
      <c r="U32" s="22"/>
    </row>
    <row r="33" spans="1:22" ht="36" customHeight="1" x14ac:dyDescent="0.2">
      <c r="A33" s="141" t="s">
        <v>43</v>
      </c>
      <c r="B33" s="141"/>
      <c r="C33" s="141"/>
      <c r="D33" s="141"/>
      <c r="E33" s="141"/>
      <c r="F33" s="141"/>
      <c r="G33" s="141"/>
      <c r="H33" s="41"/>
      <c r="I33" s="41"/>
      <c r="M33" s="156" t="s">
        <v>86</v>
      </c>
      <c r="N33" s="157"/>
      <c r="O33" s="157"/>
      <c r="P33" s="157"/>
      <c r="Q33" s="158">
        <f>'Control Entry'!B4</f>
        <v>44783</v>
      </c>
      <c r="R33" s="159"/>
      <c r="S33" s="159"/>
      <c r="T33" s="159"/>
      <c r="U33" s="93"/>
      <c r="V33" s="57"/>
    </row>
    <row r="34" spans="1:22" ht="36" customHeight="1" x14ac:dyDescent="0.2">
      <c r="A34"/>
      <c r="O34" s="47"/>
      <c r="P34" s="47"/>
      <c r="Q34" s="47"/>
      <c r="R34" s="46"/>
    </row>
    <row r="35" spans="1:22" ht="36" customHeight="1" x14ac:dyDescent="0.2">
      <c r="A35"/>
      <c r="N35" s="155"/>
      <c r="O35" s="155"/>
      <c r="P35" s="155"/>
      <c r="Q35" s="155"/>
      <c r="R35" s="155"/>
      <c r="S35" s="155"/>
      <c r="T35" s="155"/>
      <c r="U35" s="155"/>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DiqJ+JOYBhoyZ1m99XU4D8NDihYKDATVeEm7KPe0KaI0+RIl/s0HliAQDBep4bratR5dvcZSaZLG/PV3ddwAYA==" saltValue="BtrAYkICphSvoTgltO5kCQ==" spinCount="100000" sheet="1" objects="1" scenarios="1" formatCells="0" selectLockedCells="1"/>
  <mergeCells count="42">
    <mergeCell ref="M32:P32"/>
    <mergeCell ref="Q32:T32"/>
    <mergeCell ref="A33:G33"/>
    <mergeCell ref="N35:U35"/>
    <mergeCell ref="L8:Q8"/>
    <mergeCell ref="M29:T29"/>
    <mergeCell ref="L15:U15"/>
    <mergeCell ref="S20:U20"/>
    <mergeCell ref="J25:N25"/>
    <mergeCell ref="P25:Q25"/>
    <mergeCell ref="S25:T25"/>
    <mergeCell ref="U25:V25"/>
    <mergeCell ref="K27:L27"/>
    <mergeCell ref="N27:O27"/>
    <mergeCell ref="P27:Q27"/>
    <mergeCell ref="S27:T27"/>
    <mergeCell ref="U27:V27"/>
    <mergeCell ref="M33:P33"/>
    <mergeCell ref="J24:N24"/>
    <mergeCell ref="A1:G1"/>
    <mergeCell ref="K2:U2"/>
    <mergeCell ref="M4:T4"/>
    <mergeCell ref="N5:O5"/>
    <mergeCell ref="R5:U5"/>
    <mergeCell ref="O3:R3"/>
    <mergeCell ref="S24:U24"/>
    <mergeCell ref="Q33:T33"/>
    <mergeCell ref="L20:N20"/>
    <mergeCell ref="L6:U6"/>
    <mergeCell ref="T8:U8"/>
    <mergeCell ref="L9:U9"/>
    <mergeCell ref="L10:U10"/>
    <mergeCell ref="L16:U16"/>
    <mergeCell ref="L22:N22"/>
    <mergeCell ref="S22:U22"/>
    <mergeCell ref="L11:N11"/>
    <mergeCell ref="S11:U11"/>
    <mergeCell ref="L12:N12"/>
    <mergeCell ref="S12:U12"/>
    <mergeCell ref="L13:N13"/>
    <mergeCell ref="R13:U13"/>
    <mergeCell ref="J21:U21"/>
  </mergeCells>
  <phoneticPr fontId="16" type="noConversion"/>
  <conditionalFormatting sqref="P22:U24">
    <cfRule type="expression" dxfId="14" priority="4">
      <formula>$S$3="#2"</formula>
    </cfRule>
  </conditionalFormatting>
  <conditionalFormatting sqref="K27:V27">
    <cfRule type="expression" dxfId="13" priority="3">
      <formula>$S$3="#2"</formula>
    </cfRule>
  </conditionalFormatting>
  <conditionalFormatting sqref="J22:N22">
    <cfRule type="expression" dxfId="12" priority="2">
      <formula>$S$3="#2"</formula>
    </cfRule>
  </conditionalFormatting>
  <conditionalFormatting sqref="J21:U21">
    <cfRule type="expression" dxfId="11" priority="1">
      <formula>$S$3&lt;&gt;"#2"</formula>
    </cfRule>
  </conditionalFormatting>
  <printOptions horizontalCentered="1" verticalCentered="1"/>
  <pageMargins left="0.2" right="0.2" top="0.2" bottom="0.2" header="0.51" footer="0.51"/>
  <pageSetup scale="45" orientation="landscape"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4409A-CD2B-D847-B15D-2D9B75969139}">
  <sheetPr>
    <pageSetUpPr fitToPage="1"/>
  </sheetPr>
  <dimension ref="A1:V40"/>
  <sheetViews>
    <sheetView showGridLines="0" zoomScale="92" zoomScaleNormal="92" zoomScalePageLayoutView="92" workbookViewId="0">
      <selection activeCell="F19" sqref="F19"/>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28" customWidth="1"/>
    <col min="9" max="9" width="12" customWidth="1"/>
    <col min="18" max="19" width="8.83203125" customWidth="1"/>
  </cols>
  <sheetData>
    <row r="1" spans="1:22" ht="21" thickBot="1" x14ac:dyDescent="0.2">
      <c r="A1" s="140" t="s">
        <v>74</v>
      </c>
      <c r="B1" s="140"/>
      <c r="C1" s="140"/>
      <c r="D1" s="140"/>
      <c r="E1" s="140"/>
      <c r="F1" s="140"/>
      <c r="G1" s="140"/>
      <c r="H1" s="27" t="s">
        <v>29</v>
      </c>
    </row>
    <row r="2" spans="1:22" ht="33.75" customHeight="1" thickBot="1" x14ac:dyDescent="0.25">
      <c r="A2" s="74" t="s">
        <v>30</v>
      </c>
      <c r="B2" s="9" t="s">
        <v>3</v>
      </c>
      <c r="C2" s="9" t="s">
        <v>4</v>
      </c>
      <c r="D2" s="9" t="s">
        <v>25</v>
      </c>
      <c r="E2" s="9" t="s">
        <v>31</v>
      </c>
      <c r="F2" s="9" t="s">
        <v>59</v>
      </c>
      <c r="G2" s="74" t="s">
        <v>32</v>
      </c>
      <c r="H2" s="27" t="s">
        <v>29</v>
      </c>
      <c r="K2" s="145" t="s">
        <v>55</v>
      </c>
      <c r="L2" s="145"/>
      <c r="M2" s="145"/>
      <c r="N2" s="145"/>
      <c r="O2" s="145"/>
      <c r="P2" s="145"/>
      <c r="Q2" s="145"/>
      <c r="R2" s="145"/>
      <c r="S2" s="145"/>
      <c r="T2" s="145"/>
      <c r="U2" s="145"/>
    </row>
    <row r="3" spans="1:22" ht="36" customHeight="1" x14ac:dyDescent="0.45">
      <c r="A3" s="29"/>
      <c r="B3" s="30">
        <f>'Control Entry'!N41</f>
        <v>44787.201388888883</v>
      </c>
      <c r="C3" s="30">
        <f>'Control Entry'!O41</f>
        <v>44788.359027777777</v>
      </c>
      <c r="D3" s="31"/>
      <c r="E3" s="32" t="str">
        <f>IF(ISBLANK('Control Entry'!F41),"",'Control Entry'!F41)</f>
        <v>STAFFED</v>
      </c>
      <c r="F3" s="97" t="str">
        <f>IF(ISBLANK('Control Entry'!I41),"",'Control Entry'!I41)</f>
        <v/>
      </c>
      <c r="G3" s="98"/>
      <c r="H3" s="27" t="s">
        <v>29</v>
      </c>
      <c r="K3" s="14"/>
      <c r="O3" s="129" t="s">
        <v>73</v>
      </c>
      <c r="P3" s="129"/>
      <c r="Q3" s="129"/>
      <c r="R3" s="129"/>
      <c r="S3" s="85" t="str">
        <f>IF('Control Entry'!D41&lt;&gt;0,"#3",IF(AND('Control Entry'!D41=0,'Control Entry'!D54&lt;&gt;0),"#1",""))</f>
        <v>#3</v>
      </c>
      <c r="T3" s="86"/>
      <c r="U3" s="42"/>
    </row>
    <row r="4" spans="1:22" ht="36" customHeight="1" x14ac:dyDescent="0.2">
      <c r="A4" s="38">
        <f>IF(ISBLANK('Control Entry'!D41),"",'Control Entry'!D41)</f>
        <v>727.1</v>
      </c>
      <c r="B4" s="39">
        <f>'Control Entry'!N41</f>
        <v>44787.201388888883</v>
      </c>
      <c r="C4" s="39">
        <f>'Control Entry'!O41</f>
        <v>44788.359027777777</v>
      </c>
      <c r="D4" s="40" t="str">
        <f>IF(ISBLANK('Control Entry'!E41),"",'Control Entry'!E41)</f>
        <v>NANAIMO</v>
      </c>
      <c r="E4" s="32" t="str">
        <f>IF(ISBLANK('Control Entry'!G41),"",'Control Entry'!G41)</f>
        <v>Bluebird Motel</v>
      </c>
      <c r="F4" s="97" t="str">
        <f>IF(ISBLANK('Control Entry'!J41),"",'Control Entry'!J41)</f>
        <v/>
      </c>
      <c r="G4" s="98"/>
      <c r="H4" s="27" t="s">
        <v>29</v>
      </c>
      <c r="K4" s="14"/>
      <c r="M4" s="126" t="str">
        <f>IF(ISBLANK(brevet),"",brevet&amp;" km Randonnée")</f>
        <v>1000 km Randonnée</v>
      </c>
      <c r="N4" s="126"/>
      <c r="O4" s="126"/>
      <c r="P4" s="126"/>
      <c r="Q4" s="126"/>
      <c r="R4" s="126"/>
      <c r="S4" s="126"/>
      <c r="T4" s="126"/>
      <c r="U4" s="43"/>
    </row>
    <row r="5" spans="1:22" ht="36" customHeight="1" thickBot="1" x14ac:dyDescent="0.25">
      <c r="A5" s="33"/>
      <c r="B5" s="34">
        <f>'Control Entry'!N41</f>
        <v>44787.201388888883</v>
      </c>
      <c r="C5" s="34">
        <f>'Control Entry'!O41</f>
        <v>44788.359027777777</v>
      </c>
      <c r="D5" s="35"/>
      <c r="E5" s="36" t="str">
        <f>IF(ISBLANK('Control Entry'!H41),"",'Control Entry'!H41)</f>
        <v>995 Terminal Ave. N.</v>
      </c>
      <c r="F5" s="102" t="str">
        <f>IF(ISBLANK('Control Entry'!K41),"",'Control Entry'!K41)</f>
        <v/>
      </c>
      <c r="G5" s="101"/>
      <c r="H5" s="27" t="s">
        <v>29</v>
      </c>
      <c r="K5" s="14"/>
      <c r="M5" s="15"/>
      <c r="N5" s="125" t="s">
        <v>47</v>
      </c>
      <c r="O5" s="125"/>
      <c r="P5" s="61">
        <f>IF(ISBLANK(Brevet_Number),"",Brevet_Number)</f>
        <v>5163</v>
      </c>
      <c r="Q5" s="62"/>
      <c r="R5" s="144">
        <f>IF(ISBLANK('Control Entry'!$B10),"",'Control Entry'!$B10)</f>
        <v>44786</v>
      </c>
      <c r="S5" s="144"/>
      <c r="T5" s="144"/>
      <c r="U5" s="144"/>
      <c r="V5" s="44"/>
    </row>
    <row r="6" spans="1:22" ht="36" customHeight="1" x14ac:dyDescent="0.2">
      <c r="A6" s="29"/>
      <c r="B6" s="30">
        <f>'Control Entry'!N42</f>
        <v>44787.336805555555</v>
      </c>
      <c r="C6" s="30">
        <f>'Control Entry'!O42</f>
        <v>44788.690972222219</v>
      </c>
      <c r="D6" s="37"/>
      <c r="E6" s="32" t="str">
        <f>IF(ISBLANK('Control Entry'!F42),"",'Control Entry'!F42)</f>
        <v>INFORMATION</v>
      </c>
      <c r="F6" s="97" t="str">
        <f>IF(ISBLANK('Control Entry'!I42),"",'Control Entry'!I42)</f>
        <v>Diamond sign on fence left side of ramp</v>
      </c>
      <c r="G6" s="98"/>
      <c r="H6" s="27" t="s">
        <v>29</v>
      </c>
      <c r="K6" s="14"/>
      <c r="L6" s="132" t="str">
        <f>IF(ISBLANK(Brevet_Description),"",Brevet_Description)</f>
        <v>Bridges and Ferry Tour</v>
      </c>
      <c r="M6" s="132"/>
      <c r="N6" s="132"/>
      <c r="O6" s="132"/>
      <c r="P6" s="132"/>
      <c r="Q6" s="132"/>
      <c r="R6" s="132"/>
      <c r="S6" s="132"/>
      <c r="T6" s="132"/>
      <c r="U6" s="132"/>
    </row>
    <row r="7" spans="1:22" ht="36" customHeight="1" x14ac:dyDescent="0.2">
      <c r="A7" s="38">
        <f>IF(ISBLANK('Control Entry'!D42),"",'Control Entry'!D42)</f>
        <v>818</v>
      </c>
      <c r="B7" s="39">
        <f>'Control Entry'!N42</f>
        <v>44787.336805555555</v>
      </c>
      <c r="C7" s="39">
        <f>'Control Entry'!O42</f>
        <v>44788.690972222219</v>
      </c>
      <c r="D7" s="40" t="str">
        <f>IF(ISBLANK('Control Entry'!E42),"",'Control Entry'!E42)</f>
        <v>MILL BAY</v>
      </c>
      <c r="E7" s="32" t="str">
        <f>IF(ISBLANK('Control Entry'!G42),"",'Control Entry'!G42)</f>
        <v>BC Ferries Terminal</v>
      </c>
      <c r="F7" s="99" t="str">
        <f>IF(ISBLANK('Control Entry'!J42),"",'Control Entry'!J42)</f>
        <v>Malahat Community ____?____</v>
      </c>
      <c r="G7" s="98"/>
      <c r="H7" s="27" t="s">
        <v>29</v>
      </c>
    </row>
    <row r="8" spans="1:22" ht="36" customHeight="1" thickBot="1" x14ac:dyDescent="0.25">
      <c r="A8" s="33"/>
      <c r="B8" s="34">
        <f>'Control Entry'!N42</f>
        <v>44787.336805555555</v>
      </c>
      <c r="C8" s="34">
        <f>'Control Entry'!O42</f>
        <v>44788.690972222219</v>
      </c>
      <c r="D8" s="35"/>
      <c r="E8" s="36" t="str">
        <f>IF(ISBLANK('Control Entry'!H42),"",'Control Entry'!H42)</f>
        <v>Ferry Rd</v>
      </c>
      <c r="F8" s="102" t="str">
        <f>IF(ISBLANK('Control Entry'!K42),"",'Control Entry'!K42)</f>
        <v/>
      </c>
      <c r="G8" s="101"/>
      <c r="H8" s="27" t="s">
        <v>29</v>
      </c>
      <c r="J8" s="15" t="s">
        <v>34</v>
      </c>
      <c r="L8" s="146"/>
      <c r="M8" s="146"/>
      <c r="N8" s="146"/>
      <c r="O8" s="146"/>
      <c r="P8" s="146"/>
      <c r="Q8" s="146"/>
      <c r="R8" s="28"/>
      <c r="S8" s="45" t="s">
        <v>46</v>
      </c>
      <c r="T8" s="153"/>
      <c r="U8" s="153"/>
    </row>
    <row r="9" spans="1:22" ht="36" customHeight="1" thickBot="1" x14ac:dyDescent="0.3">
      <c r="A9" s="29"/>
      <c r="B9" s="30">
        <f>'Control Entry'!N43</f>
        <v>44787.336805555555</v>
      </c>
      <c r="C9" s="30">
        <f>'Control Entry'!O43</f>
        <v>44788.690972222219</v>
      </c>
      <c r="D9" s="37"/>
      <c r="E9" s="32" t="str">
        <f>IF(ISBLANK('Control Entry'!F43),"",'Control Entry'!F43)</f>
        <v>SELF SIGN</v>
      </c>
      <c r="F9" s="97" t="str">
        <f>IF(ISBLANK('Control Entry'!I43),"",'Control Entry'!I43)</f>
        <v/>
      </c>
      <c r="G9" s="98"/>
      <c r="H9" s="27" t="s">
        <v>29</v>
      </c>
      <c r="J9" s="15" t="s">
        <v>35</v>
      </c>
      <c r="K9" s="15"/>
      <c r="L9" s="134" t="s">
        <v>54</v>
      </c>
      <c r="M9" s="134"/>
      <c r="N9" s="134"/>
      <c r="O9" s="134"/>
      <c r="P9" s="134"/>
      <c r="Q9" s="134"/>
      <c r="R9" s="134"/>
      <c r="S9" s="134"/>
      <c r="T9" s="134"/>
      <c r="U9" s="134"/>
    </row>
    <row r="10" spans="1:22" ht="36" customHeight="1" thickBot="1" x14ac:dyDescent="0.3">
      <c r="A10" s="38">
        <f>IF(ISBLANK('Control Entry'!D43),"",'Control Entry'!D43)</f>
        <v>818</v>
      </c>
      <c r="B10" s="39">
        <f>'Control Entry'!N43</f>
        <v>44787.336805555555</v>
      </c>
      <c r="C10" s="39">
        <f>'Control Entry'!O43</f>
        <v>44788.690972222219</v>
      </c>
      <c r="D10" s="40" t="str">
        <f>IF(ISBLANK('Control Entry'!E43),"",'Control Entry'!E43)</f>
        <v>BRENTOOD BAY</v>
      </c>
      <c r="E10" s="32" t="str">
        <f>IF(ISBLANK('Control Entry'!G43),"",'Control Entry'!G43)</f>
        <v>BC Ferries Terminal</v>
      </c>
      <c r="F10" s="97" t="str">
        <f>IF(ISBLANK('Control Entry'!J43),"",'Control Entry'!J43)</f>
        <v/>
      </c>
      <c r="G10" s="98"/>
      <c r="H10" s="27" t="s">
        <v>29</v>
      </c>
      <c r="J10" s="15"/>
      <c r="K10" s="15"/>
      <c r="L10" s="135"/>
      <c r="M10" s="135"/>
      <c r="N10" s="135"/>
      <c r="O10" s="135"/>
      <c r="P10" s="135"/>
      <c r="Q10" s="135"/>
      <c r="R10" s="135"/>
      <c r="S10" s="135"/>
      <c r="T10" s="135"/>
      <c r="U10" s="135"/>
    </row>
    <row r="11" spans="1:22" ht="36" customHeight="1" thickBot="1" x14ac:dyDescent="0.3">
      <c r="A11" s="33"/>
      <c r="B11" s="34">
        <f>'Control Entry'!N43</f>
        <v>44787.336805555555</v>
      </c>
      <c r="C11" s="34">
        <f>'Control Entry'!O43</f>
        <v>44788.690972222219</v>
      </c>
      <c r="D11" s="35"/>
      <c r="E11" s="36" t="str">
        <f>IF(ISBLANK('Control Entry'!H43),"",'Control Entry'!H43)</f>
        <v>809 Verdier Ave</v>
      </c>
      <c r="F11" s="102" t="str">
        <f>IF(ISBLANK('Control Entry'!K43),"",'Control Entry'!K43)</f>
        <v/>
      </c>
      <c r="G11" s="101"/>
      <c r="H11" s="27" t="s">
        <v>29</v>
      </c>
      <c r="J11" s="15" t="s">
        <v>36</v>
      </c>
      <c r="K11" s="15"/>
      <c r="L11" s="135"/>
      <c r="M11" s="135"/>
      <c r="N11" s="135"/>
      <c r="O11" s="18"/>
      <c r="P11" s="18" t="s">
        <v>37</v>
      </c>
      <c r="Q11" s="18"/>
      <c r="R11" s="18"/>
      <c r="S11" s="139"/>
      <c r="T11" s="139"/>
      <c r="U11" s="139"/>
    </row>
    <row r="12" spans="1:22" ht="36" customHeight="1" thickBot="1" x14ac:dyDescent="0.3">
      <c r="A12" s="29"/>
      <c r="B12" s="30">
        <f>'Control Entry'!N44</f>
        <v>44787.366666666661</v>
      </c>
      <c r="C12" s="30">
        <f>'Control Entry'!O44</f>
        <v>44788.76458333333</v>
      </c>
      <c r="D12" s="37"/>
      <c r="E12" s="32" t="str">
        <f>IF(ISBLANK('Control Entry'!F44),"",'Control Entry'!F44)</f>
        <v>INFORMATION</v>
      </c>
      <c r="F12" s="97" t="str">
        <f>IF(ISBLANK('Control Entry'!I44),"",'Control Entry'!I44)</f>
        <v>Yellow repair stand</v>
      </c>
      <c r="G12" s="98"/>
      <c r="H12" s="27" t="s">
        <v>29</v>
      </c>
      <c r="J12" s="15" t="s">
        <v>38</v>
      </c>
      <c r="K12" s="15"/>
      <c r="L12" s="135"/>
      <c r="M12" s="135"/>
      <c r="N12" s="135"/>
      <c r="O12" s="18"/>
      <c r="P12" s="18" t="s">
        <v>39</v>
      </c>
      <c r="Q12" s="18"/>
      <c r="R12" s="18"/>
      <c r="S12" s="139"/>
      <c r="T12" s="139"/>
      <c r="U12" s="139"/>
    </row>
    <row r="13" spans="1:22" ht="36" customHeight="1" thickBot="1" x14ac:dyDescent="0.3">
      <c r="A13" s="38">
        <f>IF(ISBLANK('Control Entry'!D44),"",'Control Entry'!D44)</f>
        <v>838.2</v>
      </c>
      <c r="B13" s="39">
        <f>'Control Entry'!N44</f>
        <v>44787.366666666661</v>
      </c>
      <c r="C13" s="39">
        <f>'Control Entry'!O44</f>
        <v>44788.76458333333</v>
      </c>
      <c r="D13" s="40" t="str">
        <f>IF(ISBLANK('Control Entry'!E44),"",'Control Entry'!E44)</f>
        <v>SAANICH</v>
      </c>
      <c r="E13" s="53" t="str">
        <f>IF(ISBLANK('Control Entry'!G44),"",'Control Entry'!G44)</f>
        <v xml:space="preserve">Washroom/repair station </v>
      </c>
      <c r="F13" s="97" t="str">
        <f>IF(ISBLANK('Control Entry'!J44),"",'Control Entry'!J44)</f>
        <v>How many tool cables?</v>
      </c>
      <c r="G13" s="98"/>
      <c r="H13" s="27" t="s">
        <v>29</v>
      </c>
      <c r="J13" s="15" t="s">
        <v>40</v>
      </c>
      <c r="L13" s="138"/>
      <c r="M13" s="138"/>
      <c r="N13" s="138"/>
      <c r="O13" s="19"/>
      <c r="P13" s="18" t="s">
        <v>41</v>
      </c>
      <c r="Q13" s="18"/>
      <c r="R13" s="143"/>
      <c r="S13" s="143"/>
      <c r="T13" s="143"/>
      <c r="U13" s="143"/>
    </row>
    <row r="14" spans="1:22" ht="36" customHeight="1" thickBot="1" x14ac:dyDescent="0.25">
      <c r="A14" s="33"/>
      <c r="B14" s="34">
        <f>'Control Entry'!N44</f>
        <v>44787.366666666661</v>
      </c>
      <c r="C14" s="34">
        <f>'Control Entry'!O44</f>
        <v>44788.76458333333</v>
      </c>
      <c r="D14" s="35"/>
      <c r="E14" s="36" t="str">
        <f>IF(ISBLANK('Control Entry'!H44),"",'Control Entry'!H44)</f>
        <v>Lochside Trail  @ Blenkinsop Gnwy</v>
      </c>
      <c r="F14" s="102" t="str">
        <f>IF(ISBLANK('Control Entry'!K44),"",'Control Entry'!K44)</f>
        <v>3          4          5</v>
      </c>
      <c r="G14" s="101"/>
      <c r="H14" s="27" t="s">
        <v>29</v>
      </c>
    </row>
    <row r="15" spans="1:22" ht="36" customHeight="1" x14ac:dyDescent="0.2">
      <c r="A15" s="29"/>
      <c r="B15" s="30">
        <f>'Control Entry'!N45</f>
        <v>44787.513194444444</v>
      </c>
      <c r="C15" s="30">
        <f>'Control Entry'!O45</f>
        <v>44789.122916666667</v>
      </c>
      <c r="D15" s="37"/>
      <c r="E15" s="32" t="str">
        <f>IF(ISBLANK('Control Entry'!F45),"",'Control Entry'!F45)</f>
        <v>INFORMATION</v>
      </c>
      <c r="F15" s="97" t="str">
        <f>IF(ISBLANK('Control Entry'!I45),"",'Control Entry'!I45)</f>
        <v>Marker is 5 metres before stop sign</v>
      </c>
      <c r="G15" s="98"/>
      <c r="H15" s="27" t="s">
        <v>29</v>
      </c>
      <c r="J15" s="15"/>
      <c r="L15" s="131" t="s">
        <v>58</v>
      </c>
      <c r="M15" s="131"/>
      <c r="N15" s="131"/>
      <c r="O15" s="131"/>
      <c r="P15" s="131"/>
      <c r="Q15" s="131"/>
      <c r="R15" s="131"/>
      <c r="S15" s="131"/>
      <c r="T15" s="131"/>
      <c r="U15" s="131"/>
    </row>
    <row r="16" spans="1:22" ht="36" customHeight="1" thickBot="1" x14ac:dyDescent="0.25">
      <c r="A16" s="38">
        <f>IF(ISBLANK('Control Entry'!D45),"",'Control Entry'!D45)</f>
        <v>936.5</v>
      </c>
      <c r="B16" s="39">
        <f>'Control Entry'!N45</f>
        <v>44787.513194444444</v>
      </c>
      <c r="C16" s="39">
        <f>'Control Entry'!O45</f>
        <v>44789.122916666667</v>
      </c>
      <c r="D16" s="40" t="str">
        <f>IF(ISBLANK('Control Entry'!E45),"",'Control Entry'!E45)</f>
        <v>METCHOSIN</v>
      </c>
      <c r="E16" s="53" t="str">
        <f>IF(ISBLANK('Control Entry'!G45),"",'Control Entry'!G45)</f>
        <v>Heritage Marker</v>
      </c>
      <c r="F16" s="99" t="str">
        <f>IF(ISBLANK('Control Entry'!J45),"",'Control Entry'!J45)</f>
        <v>Name of Helgesen farm ?</v>
      </c>
      <c r="G16" s="98"/>
      <c r="H16" s="27" t="s">
        <v>29</v>
      </c>
      <c r="L16" s="162"/>
      <c r="M16" s="162"/>
      <c r="N16" s="162"/>
      <c r="O16" s="162"/>
      <c r="P16" s="162"/>
      <c r="Q16" s="162"/>
      <c r="R16" s="162"/>
      <c r="S16" s="162"/>
      <c r="T16" s="162"/>
      <c r="U16" s="162"/>
    </row>
    <row r="17" spans="1:22" ht="36" customHeight="1" thickBot="1" x14ac:dyDescent="0.25">
      <c r="A17" s="33"/>
      <c r="B17" s="34">
        <f>'Control Entry'!N45</f>
        <v>44787.513194444444</v>
      </c>
      <c r="C17" s="34">
        <f>'Control Entry'!O45</f>
        <v>44789.122916666667</v>
      </c>
      <c r="D17" s="35"/>
      <c r="E17" s="36" t="str">
        <f>IF(ISBLANK('Control Entry'!H45),"",'Control Entry'!H45)</f>
        <v>Lombard @ William Head</v>
      </c>
      <c r="F17" s="102" t="str">
        <f>IF(ISBLANK('Control Entry'!K45),"",'Control Entry'!K45)</f>
        <v/>
      </c>
      <c r="G17" s="101"/>
      <c r="H17" s="27" t="s">
        <v>29</v>
      </c>
    </row>
    <row r="18" spans="1:22" ht="36" customHeight="1" x14ac:dyDescent="0.2">
      <c r="A18" s="29"/>
      <c r="B18" s="30">
        <f>'Control Entry'!N46</f>
        <v>44787.561111111107</v>
      </c>
      <c r="C18" s="30">
        <f>'Control Entry'!O46</f>
        <v>44789.239583333328</v>
      </c>
      <c r="D18" s="37"/>
      <c r="E18" s="32" t="str">
        <f>IF(ISBLANK('Control Entry'!F46),"",'Control Entry'!F46)</f>
        <v>INFORMATION</v>
      </c>
      <c r="F18" s="97" t="str">
        <f>IF(ISBLANK('Control Entry'!I46),"",'Control Entry'!I46)</f>
        <v>Blue wheelchair sign on entry door</v>
      </c>
      <c r="G18" s="98"/>
      <c r="H18" s="27" t="s">
        <v>29</v>
      </c>
    </row>
    <row r="19" spans="1:22" ht="36" customHeight="1" x14ac:dyDescent="0.2">
      <c r="A19" s="38">
        <f>IF(ISBLANK('Control Entry'!D46),"",'Control Entry'!D46)</f>
        <v>968.6</v>
      </c>
      <c r="B19" s="39">
        <f>'Control Entry'!N46</f>
        <v>44787.561111111107</v>
      </c>
      <c r="C19" s="39">
        <f>'Control Entry'!O46</f>
        <v>44789.239583333328</v>
      </c>
      <c r="D19" s="40" t="str">
        <f>IF(ISBLANK('Control Entry'!E46),"",'Control Entry'!E46)</f>
        <v>VICTORIA</v>
      </c>
      <c r="E19" s="32" t="str">
        <f>IF(ISBLANK('Control Entry'!G46),"",'Control Entry'!G46)</f>
        <v>Public Washrooms</v>
      </c>
      <c r="F19" s="97" t="str">
        <f>IF(ISBLANK('Control Entry'!J46),"",'Control Entry'!J46)</f>
        <v>Name above wheelchair?</v>
      </c>
      <c r="G19" s="98"/>
      <c r="H19" s="27" t="s">
        <v>29</v>
      </c>
    </row>
    <row r="20" spans="1:22" ht="36" customHeight="1" thickBot="1" x14ac:dyDescent="0.25">
      <c r="A20" s="33"/>
      <c r="B20" s="34">
        <f>'Control Entry'!N46</f>
        <v>44787.561111111107</v>
      </c>
      <c r="C20" s="34">
        <f>'Control Entry'!O46</f>
        <v>44789.239583333328</v>
      </c>
      <c r="D20" s="35"/>
      <c r="E20" s="36" t="str">
        <f>IF(ISBLANK('Control Entry'!H46),"",'Control Entry'!H46)</f>
        <v>Clover Point</v>
      </c>
      <c r="F20" s="102" t="str">
        <f>IF(ISBLANK('Control Entry'!K46),"",'Control Entry'!K46)</f>
        <v/>
      </c>
      <c r="G20" s="101"/>
      <c r="H20" s="27" t="s">
        <v>29</v>
      </c>
      <c r="J20" s="59" t="s">
        <v>44</v>
      </c>
      <c r="K20" s="59"/>
      <c r="L20" s="154">
        <f>IF(ISBLANK('Control Entry'!B12),"",'Control Entry'!B12)</f>
        <v>44786</v>
      </c>
      <c r="M20" s="154"/>
      <c r="N20" s="154"/>
      <c r="P20" s="18" t="s">
        <v>0</v>
      </c>
      <c r="Q20" s="18"/>
      <c r="S20" s="130">
        <f>IF(ISBLANK('Control Entry'!B13),"",'Control Entry'!B13)</f>
        <v>0.22916666666666666</v>
      </c>
      <c r="T20" s="130"/>
      <c r="U20" s="130"/>
    </row>
    <row r="21" spans="1:22" ht="36" customHeight="1" x14ac:dyDescent="0.2">
      <c r="A21" s="29"/>
      <c r="B21" s="30">
        <f>'Control Entry'!N47</f>
        <v>44787.611111111109</v>
      </c>
      <c r="C21" s="30">
        <f>'Control Entry'!O47</f>
        <v>44789.354166666664</v>
      </c>
      <c r="D21" s="37"/>
      <c r="E21" s="32" t="str">
        <f>IF(ISBLANK('Control Entry'!F47),"",'Control Entry'!F47)</f>
        <v>STAFFED</v>
      </c>
      <c r="F21" s="97" t="str">
        <f>IF(ISBLANK('Control Entry'!I47),"",'Control Entry'!I47)</f>
        <v/>
      </c>
      <c r="G21" s="98"/>
      <c r="H21" s="27" t="s">
        <v>29</v>
      </c>
      <c r="J21" s="160" t="s">
        <v>90</v>
      </c>
      <c r="K21" s="160"/>
      <c r="L21" s="160"/>
      <c r="M21" s="160"/>
      <c r="N21" s="160"/>
      <c r="O21" s="160"/>
      <c r="P21" s="160"/>
      <c r="Q21" s="160"/>
      <c r="R21" s="160"/>
      <c r="S21" s="160"/>
      <c r="T21" s="160"/>
      <c r="U21" s="160"/>
      <c r="V21" s="28"/>
    </row>
    <row r="22" spans="1:22" ht="36" customHeight="1" thickBot="1" x14ac:dyDescent="0.25">
      <c r="A22" s="38">
        <f>IF(ISBLANK('Control Entry'!D47),"",'Control Entry'!D47)</f>
        <v>1002</v>
      </c>
      <c r="B22" s="39">
        <f>'Control Entry'!N47</f>
        <v>44787.611111111109</v>
      </c>
      <c r="C22" s="39">
        <f>'Control Entry'!O47</f>
        <v>44789.354166666664</v>
      </c>
      <c r="D22" s="40" t="str">
        <f>IF(ISBLANK('Control Entry'!E47),"",'Control Entry'!E47)</f>
        <v>SAANICHTON</v>
      </c>
      <c r="E22" s="53" t="str">
        <f>IF(ISBLANK('Control Entry'!G47),"",'Control Entry'!G47)</f>
        <v>Waddling Dog Inn</v>
      </c>
      <c r="F22" s="97" t="str">
        <f>IF(ISBLANK('Control Entry'!J47),"",'Control Entry'!J47)</f>
        <v/>
      </c>
      <c r="G22" s="98"/>
      <c r="H22" s="27" t="s">
        <v>29</v>
      </c>
      <c r="J22" s="81" t="s">
        <v>45</v>
      </c>
      <c r="K22" s="81"/>
      <c r="L22" s="103"/>
      <c r="M22" s="103"/>
      <c r="N22" s="103"/>
      <c r="O22" s="19"/>
      <c r="P22" s="18" t="s">
        <v>1</v>
      </c>
      <c r="Q22" s="18"/>
      <c r="R22" s="19"/>
      <c r="S22" s="133"/>
      <c r="T22" s="133"/>
      <c r="U22" s="133"/>
    </row>
    <row r="23" spans="1:22" ht="36" customHeight="1" thickBot="1" x14ac:dyDescent="0.25">
      <c r="A23" s="33"/>
      <c r="B23" s="34">
        <f>'Control Entry'!N47</f>
        <v>44787.611111111109</v>
      </c>
      <c r="C23" s="34">
        <f>'Control Entry'!O47</f>
        <v>44789.354166666664</v>
      </c>
      <c r="D23" s="35"/>
      <c r="E23" s="36" t="str">
        <f>IF(ISBLANK('Control Entry'!H47),"",'Control Entry'!H47)</f>
        <v>2476 Mt. Newton Cross Rd.</v>
      </c>
      <c r="F23" s="102" t="str">
        <f>IF(ISBLANK('Control Entry'!K47),"",'Control Entry'!K47)</f>
        <v/>
      </c>
      <c r="G23" s="101"/>
      <c r="H23" s="27" t="s">
        <v>29</v>
      </c>
      <c r="J23" s="81"/>
      <c r="K23" s="81"/>
      <c r="L23" s="57"/>
      <c r="M23" s="57"/>
      <c r="N23" s="57"/>
      <c r="O23" s="22"/>
      <c r="P23" s="56"/>
      <c r="Q23" s="56"/>
      <c r="R23" s="22"/>
      <c r="S23" s="22"/>
      <c r="T23" s="22"/>
      <c r="U23" s="22"/>
      <c r="V23" s="28"/>
    </row>
    <row r="24" spans="1:22" ht="36" customHeight="1" thickBot="1" x14ac:dyDescent="0.25">
      <c r="A24" s="29"/>
      <c r="B24" s="30" t="str">
        <f>'Control Entry'!N48</f>
        <v/>
      </c>
      <c r="C24" s="30" t="str">
        <f>'Control Entry'!O48</f>
        <v/>
      </c>
      <c r="D24" s="37"/>
      <c r="E24" s="32" t="str">
        <f>IF(ISBLANK('Control Entry'!F48),"",'Control Entry'!F48)</f>
        <v/>
      </c>
      <c r="F24" s="97" t="str">
        <f>IF(ISBLANK('Control Entry'!I48),"",'Control Entry'!I48)</f>
        <v/>
      </c>
      <c r="G24" s="98"/>
      <c r="H24" s="27" t="s">
        <v>29</v>
      </c>
      <c r="J24" s="133"/>
      <c r="K24" s="133"/>
      <c r="L24" s="133"/>
      <c r="M24" s="133"/>
      <c r="N24" s="133"/>
      <c r="O24" s="19"/>
      <c r="P24" s="18" t="s">
        <v>2</v>
      </c>
      <c r="Q24" s="18"/>
      <c r="R24" s="19"/>
      <c r="S24" s="133"/>
      <c r="T24" s="133"/>
      <c r="U24" s="133"/>
    </row>
    <row r="25" spans="1:22" ht="36" customHeight="1" x14ac:dyDescent="0.2">
      <c r="A25" s="38" t="str">
        <f>IF(ISBLANK('Control Entry'!D48),"",'Control Entry'!D48)</f>
        <v/>
      </c>
      <c r="B25" s="39" t="str">
        <f>'Control Entry'!N48</f>
        <v/>
      </c>
      <c r="C25" s="39" t="str">
        <f>'Control Entry'!O48</f>
        <v/>
      </c>
      <c r="D25" s="40" t="str">
        <f>IF(ISBLANK('Control Entry'!E48),"",'Control Entry'!E48)</f>
        <v/>
      </c>
      <c r="E25" s="32" t="str">
        <f>IF(ISBLANK('Control Entry'!G48),"",'Control Entry'!G48)</f>
        <v/>
      </c>
      <c r="F25" s="97" t="str">
        <f>IF(ISBLANK('Control Entry'!J48),"",'Control Entry'!J48)</f>
        <v/>
      </c>
      <c r="G25" s="98"/>
      <c r="H25" s="27" t="s">
        <v>29</v>
      </c>
      <c r="J25" s="128" t="s">
        <v>17</v>
      </c>
      <c r="K25" s="128"/>
      <c r="L25" s="128"/>
      <c r="M25" s="128"/>
      <c r="N25" s="128"/>
      <c r="O25" s="51"/>
      <c r="P25" s="127"/>
      <c r="Q25" s="127"/>
      <c r="R25" s="51"/>
      <c r="S25" s="142"/>
      <c r="T25" s="142"/>
      <c r="U25" s="142"/>
      <c r="V25" s="142"/>
    </row>
    <row r="26" spans="1:22" ht="36" customHeight="1" thickBot="1" x14ac:dyDescent="0.25">
      <c r="A26" s="33"/>
      <c r="B26" s="34" t="str">
        <f>'Control Entry'!N48</f>
        <v/>
      </c>
      <c r="C26" s="34" t="str">
        <f>'Control Entry'!O48</f>
        <v/>
      </c>
      <c r="D26" s="35"/>
      <c r="E26" s="36" t="str">
        <f>IF(ISBLANK('Control Entry'!H48),"",'Control Entry'!H48)</f>
        <v/>
      </c>
      <c r="F26" s="102" t="str">
        <f>IF(ISBLANK('Control Entry'!K48),"",'Control Entry'!K48)</f>
        <v/>
      </c>
      <c r="G26" s="101"/>
      <c r="H26" s="27" t="s">
        <v>29</v>
      </c>
    </row>
    <row r="27" spans="1:22" ht="36" customHeight="1" x14ac:dyDescent="0.2">
      <c r="A27" s="29"/>
      <c r="B27" s="30" t="str">
        <f>'Control Entry'!N49</f>
        <v/>
      </c>
      <c r="C27" s="30" t="str">
        <f>'Control Entry'!O49</f>
        <v/>
      </c>
      <c r="D27" s="37"/>
      <c r="E27" s="32" t="str">
        <f>IF(ISBLANK('Control Entry'!F49),"",'Control Entry'!F49)</f>
        <v>STAFFED</v>
      </c>
      <c r="F27" s="97" t="str">
        <f>IF(ISBLANK('Control Entry'!I49),"",'Control Entry'!I49)</f>
        <v/>
      </c>
      <c r="G27" s="98"/>
      <c r="H27" s="27" t="s">
        <v>29</v>
      </c>
      <c r="K27" s="126" t="s">
        <v>56</v>
      </c>
      <c r="L27" s="127"/>
      <c r="M27" s="50" t="s">
        <v>57</v>
      </c>
      <c r="N27" s="127" t="s">
        <v>49</v>
      </c>
      <c r="O27" s="127"/>
      <c r="P27" s="127" t="s">
        <v>50</v>
      </c>
      <c r="Q27" s="127"/>
      <c r="R27" s="51" t="s">
        <v>51</v>
      </c>
      <c r="S27" s="142" t="s">
        <v>52</v>
      </c>
      <c r="T27" s="142"/>
      <c r="U27" s="142" t="s">
        <v>53</v>
      </c>
      <c r="V27" s="142"/>
    </row>
    <row r="28" spans="1:22" ht="36" customHeight="1" x14ac:dyDescent="0.2">
      <c r="A28" s="38" t="str">
        <f>IF(ISBLANK('Control Entry'!D49),"",'Control Entry'!D49)</f>
        <v/>
      </c>
      <c r="B28" s="39" t="str">
        <f>'Control Entry'!N49</f>
        <v/>
      </c>
      <c r="C28" s="39" t="str">
        <f>'Control Entry'!O49</f>
        <v/>
      </c>
      <c r="D28" s="40" t="str">
        <f>IF(ISBLANK('Control Entry'!E49),"",'Control Entry'!E49)</f>
        <v>Secret</v>
      </c>
      <c r="E28" s="32" t="str">
        <f>IF(ISBLANK('Control Entry'!G49),"",'Control Entry'!G49)</f>
        <v/>
      </c>
      <c r="F28" s="97" t="str">
        <f>IF(ISBLANK('Control Entry'!J49),"",'Control Entry'!J49)</f>
        <v/>
      </c>
      <c r="G28" s="98"/>
      <c r="H28" s="27" t="s">
        <v>29</v>
      </c>
    </row>
    <row r="29" spans="1:22" ht="36" customHeight="1" thickBot="1" x14ac:dyDescent="0.25">
      <c r="A29" s="33"/>
      <c r="B29" s="34" t="str">
        <f>'Control Entry'!N49</f>
        <v/>
      </c>
      <c r="C29" s="34" t="str">
        <f>'Control Entry'!O49</f>
        <v/>
      </c>
      <c r="D29" s="35"/>
      <c r="E29" s="36" t="str">
        <f>IF(ISBLANK('Control Entry'!H49),"",'Control Entry'!H49)</f>
        <v/>
      </c>
      <c r="F29" s="102" t="str">
        <f>IF(ISBLANK('Control Entry'!K49),"",'Control Entry'!K49)</f>
        <v/>
      </c>
      <c r="G29" s="101"/>
      <c r="H29" s="27" t="s">
        <v>29</v>
      </c>
      <c r="M29" s="155" t="s">
        <v>42</v>
      </c>
      <c r="N29" s="155"/>
      <c r="O29" s="155"/>
      <c r="P29" s="155"/>
      <c r="Q29" s="155"/>
      <c r="R29" s="155"/>
      <c r="S29" s="155"/>
      <c r="T29" s="155"/>
      <c r="U29" s="54"/>
    </row>
    <row r="30" spans="1:22" ht="36" customHeight="1" x14ac:dyDescent="0.2">
      <c r="A30" s="29"/>
      <c r="B30" s="30" t="str">
        <f>'Control Entry'!N50</f>
        <v/>
      </c>
      <c r="C30" s="30" t="str">
        <f>'Control Entry'!O50</f>
        <v/>
      </c>
      <c r="D30" s="37"/>
      <c r="E30" s="32" t="str">
        <f>IF(ISBLANK('Control Entry'!F50),"",'Control Entry'!F50)</f>
        <v/>
      </c>
      <c r="F30" s="97" t="str">
        <f>IF(ISBLANK('Control Entry'!I50),"",'Control Entry'!I50)</f>
        <v/>
      </c>
      <c r="G30" s="98"/>
      <c r="H30" s="27" t="s">
        <v>29</v>
      </c>
      <c r="M30" s="16"/>
      <c r="N30" s="20"/>
      <c r="O30" s="20"/>
      <c r="P30" s="21"/>
      <c r="Q30" s="104"/>
      <c r="R30" s="20"/>
      <c r="S30" s="20"/>
      <c r="T30" s="21"/>
      <c r="U30" s="22"/>
    </row>
    <row r="31" spans="1:22" ht="36" customHeight="1" x14ac:dyDescent="0.2">
      <c r="A31" s="38" t="str">
        <f>IF(ISBLANK('Control Entry'!D50),"",'Control Entry'!D50)</f>
        <v/>
      </c>
      <c r="B31" s="39" t="str">
        <f>'Control Entry'!N50</f>
        <v/>
      </c>
      <c r="C31" s="39" t="str">
        <f>'Control Entry'!O50</f>
        <v/>
      </c>
      <c r="D31" s="40" t="str">
        <f>IF(ISBLANK('Control Entry'!E50),"",'Control Entry'!E50)</f>
        <v/>
      </c>
      <c r="E31" s="32" t="str">
        <f>IF(ISBLANK('Control Entry'!G50),"",'Control Entry'!G50)</f>
        <v/>
      </c>
      <c r="F31" s="97" t="str">
        <f>IF(ISBLANK('Control Entry'!J50),"",'Control Entry'!J50)</f>
        <v/>
      </c>
      <c r="G31" s="98"/>
      <c r="H31" s="27" t="s">
        <v>29</v>
      </c>
      <c r="M31" s="17"/>
      <c r="N31" s="22"/>
      <c r="O31" s="22"/>
      <c r="P31" s="23"/>
      <c r="Q31" s="105"/>
      <c r="R31" s="22"/>
      <c r="S31" s="22"/>
      <c r="T31" s="23"/>
      <c r="U31" s="22"/>
    </row>
    <row r="32" spans="1:22" ht="36" customHeight="1" thickBot="1" x14ac:dyDescent="0.25">
      <c r="A32" s="33"/>
      <c r="B32" s="34" t="str">
        <f>'Control Entry'!N50</f>
        <v/>
      </c>
      <c r="C32" s="34" t="str">
        <f>'Control Entry'!O50</f>
        <v/>
      </c>
      <c r="D32" s="35"/>
      <c r="E32" s="36" t="str">
        <f>IF(ISBLANK('Control Entry'!H50),"",'Control Entry'!H50)</f>
        <v/>
      </c>
      <c r="F32" s="102" t="str">
        <f>IF(ISBLANK('Control Entry'!K50),"",'Control Entry'!K50)</f>
        <v/>
      </c>
      <c r="G32" s="101"/>
      <c r="H32" s="27" t="s">
        <v>29</v>
      </c>
      <c r="M32" s="147" t="s">
        <v>82</v>
      </c>
      <c r="N32" s="148"/>
      <c r="O32" s="148"/>
      <c r="P32" s="149"/>
      <c r="Q32" s="150">
        <f>'Control Entry'!B3</f>
        <v>44700</v>
      </c>
      <c r="R32" s="151"/>
      <c r="S32" s="151"/>
      <c r="T32" s="152"/>
      <c r="U32" s="22"/>
    </row>
    <row r="33" spans="1:22" ht="36" customHeight="1" x14ac:dyDescent="0.2">
      <c r="A33" s="141" t="s">
        <v>43</v>
      </c>
      <c r="B33" s="141"/>
      <c r="C33" s="141"/>
      <c r="D33" s="141"/>
      <c r="E33" s="141"/>
      <c r="F33" s="141"/>
      <c r="G33" s="141"/>
      <c r="H33" s="41"/>
      <c r="I33" s="41"/>
      <c r="M33" s="156" t="s">
        <v>86</v>
      </c>
      <c r="N33" s="157"/>
      <c r="O33" s="157"/>
      <c r="P33" s="157"/>
      <c r="Q33" s="158">
        <f>'Control Entry'!B4</f>
        <v>44783</v>
      </c>
      <c r="R33" s="159"/>
      <c r="S33" s="159"/>
      <c r="T33" s="159"/>
      <c r="U33" s="92"/>
      <c r="V33" s="57"/>
    </row>
    <row r="34" spans="1:22" ht="36" customHeight="1" x14ac:dyDescent="0.2">
      <c r="A34"/>
      <c r="O34" s="47"/>
      <c r="P34" s="47"/>
      <c r="Q34" s="47"/>
      <c r="R34" s="46"/>
    </row>
    <row r="35" spans="1:22" ht="36" customHeight="1" x14ac:dyDescent="0.2">
      <c r="A35"/>
      <c r="N35" s="155"/>
      <c r="O35" s="155"/>
      <c r="P35" s="155"/>
      <c r="Q35" s="155"/>
      <c r="R35" s="155"/>
      <c r="S35" s="155"/>
      <c r="T35" s="155"/>
      <c r="U35" s="155"/>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n04OlOPypxKiXZHfTF7SZ14P8gX/OWk/qktZJUCZqh+6Nv8BjLLr9UXJBNwuWtsY5jnC73Xiuu+JFtcLWZMoiA==" saltValue="FabpdyB7wrMR7nA5d9noMA==" spinCount="100000" sheet="1" objects="1" scenarios="1" formatCells="0" selectLockedCells="1"/>
  <mergeCells count="41">
    <mergeCell ref="Q32:T32"/>
    <mergeCell ref="A1:G1"/>
    <mergeCell ref="K2:U2"/>
    <mergeCell ref="M4:T4"/>
    <mergeCell ref="N5:O5"/>
    <mergeCell ref="R5:U5"/>
    <mergeCell ref="O3:R3"/>
    <mergeCell ref="L6:U6"/>
    <mergeCell ref="L8:Q8"/>
    <mergeCell ref="T8:U8"/>
    <mergeCell ref="L15:U15"/>
    <mergeCell ref="S20:U20"/>
    <mergeCell ref="L9:U9"/>
    <mergeCell ref="L10:U10"/>
    <mergeCell ref="L11:N11"/>
    <mergeCell ref="L16:U16"/>
    <mergeCell ref="M33:P33"/>
    <mergeCell ref="Q33:T33"/>
    <mergeCell ref="L20:N20"/>
    <mergeCell ref="A33:G33"/>
    <mergeCell ref="N35:U35"/>
    <mergeCell ref="U27:V27"/>
    <mergeCell ref="M29:T29"/>
    <mergeCell ref="K27:L27"/>
    <mergeCell ref="N27:O27"/>
    <mergeCell ref="P27:Q27"/>
    <mergeCell ref="S27:T27"/>
    <mergeCell ref="J25:N25"/>
    <mergeCell ref="P25:Q25"/>
    <mergeCell ref="S25:T25"/>
    <mergeCell ref="U25:V25"/>
    <mergeCell ref="M32:P32"/>
    <mergeCell ref="S22:U22"/>
    <mergeCell ref="J24:N24"/>
    <mergeCell ref="S24:U24"/>
    <mergeCell ref="S11:U11"/>
    <mergeCell ref="L12:N12"/>
    <mergeCell ref="S12:U12"/>
    <mergeCell ref="L13:N13"/>
    <mergeCell ref="R13:U13"/>
    <mergeCell ref="J21:U21"/>
  </mergeCells>
  <conditionalFormatting sqref="P22:U24">
    <cfRule type="expression" dxfId="10" priority="4">
      <formula>$S$3="#3"</formula>
    </cfRule>
  </conditionalFormatting>
  <conditionalFormatting sqref="J22:N22">
    <cfRule type="expression" dxfId="9" priority="3">
      <formula>$S$3="#3"</formula>
    </cfRule>
  </conditionalFormatting>
  <conditionalFormatting sqref="K27:V27">
    <cfRule type="expression" dxfId="8" priority="2">
      <formula>$S$3="#3"</formula>
    </cfRule>
  </conditionalFormatting>
  <conditionalFormatting sqref="J21:U21">
    <cfRule type="expression" dxfId="7" priority="1">
      <formula>$S$3&lt;&gt;"#3"</formula>
    </cfRule>
  </conditionalFormatting>
  <printOptions horizontalCentered="1" verticalCentered="1"/>
  <pageMargins left="0.2" right="0.2" top="0.2" bottom="0.2" header="0.51" footer="0.51"/>
  <pageSetup scale="45" orientation="landscape" horizontalDpi="4294967292" verticalDpi="4294967292"/>
  <ignoredErrors>
    <ignoredError sqref="L20" unlocked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6F177-8884-5D4F-9CF4-14229878B446}">
  <sheetPr>
    <pageSetUpPr fitToPage="1"/>
  </sheetPr>
  <dimension ref="A1:V40"/>
  <sheetViews>
    <sheetView showGridLines="0" zoomScale="92" zoomScaleNormal="92" zoomScalePageLayoutView="92" workbookViewId="0">
      <selection activeCell="F10" sqref="F10"/>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style="28" customWidth="1"/>
    <col min="9" max="9" width="12" customWidth="1"/>
    <col min="18" max="19" width="8.83203125" customWidth="1"/>
  </cols>
  <sheetData>
    <row r="1" spans="1:22" ht="21" thickBot="1" x14ac:dyDescent="0.2">
      <c r="A1" s="140" t="s">
        <v>74</v>
      </c>
      <c r="B1" s="140"/>
      <c r="C1" s="140"/>
      <c r="D1" s="140"/>
      <c r="E1" s="140"/>
      <c r="F1" s="140"/>
      <c r="G1" s="140"/>
      <c r="H1" s="27" t="s">
        <v>29</v>
      </c>
    </row>
    <row r="2" spans="1:22" ht="33.75" customHeight="1" thickBot="1" x14ac:dyDescent="0.25">
      <c r="A2" s="74" t="s">
        <v>30</v>
      </c>
      <c r="B2" s="9" t="s">
        <v>3</v>
      </c>
      <c r="C2" s="9" t="s">
        <v>4</v>
      </c>
      <c r="D2" s="9" t="s">
        <v>25</v>
      </c>
      <c r="E2" s="9" t="s">
        <v>31</v>
      </c>
      <c r="F2" s="9" t="s">
        <v>59</v>
      </c>
      <c r="G2" s="74" t="s">
        <v>32</v>
      </c>
      <c r="H2" s="27" t="s">
        <v>29</v>
      </c>
      <c r="K2" s="145" t="s">
        <v>55</v>
      </c>
      <c r="L2" s="145"/>
      <c r="M2" s="145"/>
      <c r="N2" s="145"/>
      <c r="O2" s="145"/>
      <c r="P2" s="145"/>
      <c r="Q2" s="145"/>
      <c r="R2" s="145"/>
      <c r="S2" s="145"/>
      <c r="T2" s="145"/>
      <c r="U2" s="145"/>
    </row>
    <row r="3" spans="1:22" ht="36" customHeight="1" x14ac:dyDescent="0.45">
      <c r="A3" s="29"/>
      <c r="B3" s="30">
        <f>'Control Entry'!N54</f>
        <v>44787.201388888883</v>
      </c>
      <c r="C3" s="30">
        <f>'Control Entry'!O54</f>
        <v>44788.359027777777</v>
      </c>
      <c r="D3" s="31"/>
      <c r="E3" s="32" t="str">
        <f>IF(ISBLANK('Control Entry'!F54),"",'Control Entry'!F54)</f>
        <v>STAFFED</v>
      </c>
      <c r="F3" s="97" t="str">
        <f>IF(ISBLANK('Control Entry'!I54),"",'Control Entry'!I54)</f>
        <v/>
      </c>
      <c r="G3" s="98"/>
      <c r="H3" s="27" t="s">
        <v>29</v>
      </c>
      <c r="K3" s="14"/>
      <c r="O3" s="129" t="s">
        <v>73</v>
      </c>
      <c r="P3" s="129"/>
      <c r="Q3" s="129"/>
      <c r="R3" s="129"/>
      <c r="S3" s="85" t="str">
        <f>IF(AND('Control Entry'!D41=0,'Control Entry'!D54&lt;&gt;0),"#2",IF('Control Entry'!D54=0,"","#4"))</f>
        <v>#4</v>
      </c>
      <c r="T3" s="86"/>
      <c r="U3" s="42"/>
    </row>
    <row r="4" spans="1:22" ht="36" customHeight="1" x14ac:dyDescent="0.2">
      <c r="A4" s="38">
        <f>IF(ISBLANK('Control Entry'!D54),"",'Control Entry'!D54)</f>
        <v>727.1</v>
      </c>
      <c r="B4" s="39">
        <f>'Control Entry'!N54</f>
        <v>44787.201388888883</v>
      </c>
      <c r="C4" s="39">
        <f>'Control Entry'!O54</f>
        <v>44788.359027777777</v>
      </c>
      <c r="D4" s="40" t="str">
        <f>IF(ISBLANK('Control Entry'!E54),"",'Control Entry'!E54)</f>
        <v>NANAIMO</v>
      </c>
      <c r="E4" s="32" t="str">
        <f>IF(ISBLANK('Control Entry'!G54),"",'Control Entry'!G54)</f>
        <v>Bluebird Motel</v>
      </c>
      <c r="F4" s="97" t="str">
        <f>IF(ISBLANK('Control Entry'!J54),"",'Control Entry'!J54)</f>
        <v/>
      </c>
      <c r="G4" s="98"/>
      <c r="H4" s="27" t="s">
        <v>29</v>
      </c>
      <c r="K4" s="14"/>
      <c r="M4" s="126" t="str">
        <f>IF(ISBLANK(brevet),"",brevet&amp;" km Randonnée")</f>
        <v>1000 km Randonnée</v>
      </c>
      <c r="N4" s="126"/>
      <c r="O4" s="126"/>
      <c r="P4" s="126"/>
      <c r="Q4" s="126"/>
      <c r="R4" s="126"/>
      <c r="S4" s="126"/>
      <c r="T4" s="126"/>
      <c r="U4" s="43"/>
    </row>
    <row r="5" spans="1:22" ht="36" customHeight="1" thickBot="1" x14ac:dyDescent="0.25">
      <c r="A5" s="33"/>
      <c r="B5" s="34">
        <f>'Control Entry'!N54</f>
        <v>44787.201388888883</v>
      </c>
      <c r="C5" s="34">
        <f>'Control Entry'!O54</f>
        <v>44788.359027777777</v>
      </c>
      <c r="D5" s="35"/>
      <c r="E5" s="36" t="str">
        <f>IF(ISBLANK('Control Entry'!H54),"",'Control Entry'!H54)</f>
        <v>995 Terminal Ave. N.</v>
      </c>
      <c r="F5" s="102" t="str">
        <f>IF(ISBLANK('Control Entry'!K54),"",'Control Entry'!K54)</f>
        <v/>
      </c>
      <c r="G5" s="101"/>
      <c r="H5" s="27" t="s">
        <v>29</v>
      </c>
      <c r="K5" s="14"/>
      <c r="M5" s="15"/>
      <c r="N5" s="125" t="s">
        <v>47</v>
      </c>
      <c r="O5" s="125"/>
      <c r="P5" s="61">
        <f>IF(ISBLANK(Brevet_Number),"",Brevet_Number)</f>
        <v>5163</v>
      </c>
      <c r="Q5" s="62"/>
      <c r="R5" s="144">
        <f>IF(ISBLANK('Control Entry'!$B10),"",'Control Entry'!$B10)</f>
        <v>44786</v>
      </c>
      <c r="S5" s="144"/>
      <c r="T5" s="144"/>
      <c r="U5" s="144"/>
      <c r="V5" s="44"/>
    </row>
    <row r="6" spans="1:22" ht="36" customHeight="1" x14ac:dyDescent="0.2">
      <c r="A6" s="29"/>
      <c r="B6" s="30">
        <f>'Control Entry'!N55</f>
        <v>44787.336805555555</v>
      </c>
      <c r="C6" s="30">
        <f>'Control Entry'!O55</f>
        <v>44788.690972222219</v>
      </c>
      <c r="D6" s="37"/>
      <c r="E6" s="32" t="str">
        <f>IF(ISBLANK('Control Entry'!F55),"",'Control Entry'!F55)</f>
        <v>INFORMATION</v>
      </c>
      <c r="F6" s="97" t="str">
        <f>IF(ISBLANK('Control Entry'!I55),"",'Control Entry'!I55)</f>
        <v>Diamond sign on fence left side of ramp</v>
      </c>
      <c r="G6" s="98"/>
      <c r="H6" s="27" t="s">
        <v>29</v>
      </c>
      <c r="K6" s="14"/>
      <c r="L6" s="132" t="str">
        <f>IF(ISBLANK(Brevet_Description),"",Brevet_Description)</f>
        <v>Bridges and Ferry Tour</v>
      </c>
      <c r="M6" s="132"/>
      <c r="N6" s="132"/>
      <c r="O6" s="132"/>
      <c r="P6" s="132"/>
      <c r="Q6" s="132"/>
      <c r="R6" s="132"/>
      <c r="S6" s="132"/>
      <c r="T6" s="132"/>
      <c r="U6" s="132"/>
    </row>
    <row r="7" spans="1:22" ht="36" customHeight="1" x14ac:dyDescent="0.2">
      <c r="A7" s="38">
        <f>IF(ISBLANK('Control Entry'!D55),"",'Control Entry'!D55)</f>
        <v>818</v>
      </c>
      <c r="B7" s="39">
        <f>'Control Entry'!N55</f>
        <v>44787.336805555555</v>
      </c>
      <c r="C7" s="39">
        <f>'Control Entry'!O55</f>
        <v>44788.690972222219</v>
      </c>
      <c r="D7" s="40" t="str">
        <f>IF(ISBLANK('Control Entry'!E55),"",'Control Entry'!E55)</f>
        <v>MILL BAY</v>
      </c>
      <c r="E7" s="32" t="str">
        <f>IF(ISBLANK('Control Entry'!G55),"",'Control Entry'!G55)</f>
        <v>BC Ferries Terminal</v>
      </c>
      <c r="F7" s="99" t="str">
        <f>IF(ISBLANK('Control Entry'!J55),"",'Control Entry'!J55)</f>
        <v>Malahat Community ____?____</v>
      </c>
      <c r="G7" s="98"/>
      <c r="H7" s="27" t="s">
        <v>29</v>
      </c>
    </row>
    <row r="8" spans="1:22" ht="36" customHeight="1" thickBot="1" x14ac:dyDescent="0.25">
      <c r="A8" s="33"/>
      <c r="B8" s="34">
        <f>'Control Entry'!N55</f>
        <v>44787.336805555555</v>
      </c>
      <c r="C8" s="34">
        <f>'Control Entry'!O55</f>
        <v>44788.690972222219</v>
      </c>
      <c r="D8" s="35"/>
      <c r="E8" s="36" t="str">
        <f>IF(ISBLANK('Control Entry'!H55),"",'Control Entry'!H55)</f>
        <v>Ferry Rd</v>
      </c>
      <c r="F8" s="102" t="str">
        <f>IF(ISBLANK('Control Entry'!K55),"",'Control Entry'!K55)</f>
        <v/>
      </c>
      <c r="G8" s="101"/>
      <c r="H8" s="27" t="s">
        <v>29</v>
      </c>
      <c r="J8" s="15" t="s">
        <v>34</v>
      </c>
      <c r="L8" s="146"/>
      <c r="M8" s="146"/>
      <c r="N8" s="146"/>
      <c r="O8" s="146"/>
      <c r="P8" s="146"/>
      <c r="Q8" s="146"/>
      <c r="R8" s="28"/>
      <c r="S8" s="45" t="s">
        <v>46</v>
      </c>
      <c r="T8" s="153"/>
      <c r="U8" s="153"/>
    </row>
    <row r="9" spans="1:22" ht="36" customHeight="1" thickBot="1" x14ac:dyDescent="0.3">
      <c r="A9" s="29"/>
      <c r="B9" s="30">
        <f>'Control Entry'!N56</f>
        <v>44787.392361111109</v>
      </c>
      <c r="C9" s="30">
        <f>'Control Entry'!O56</f>
        <v>44788.826388888883</v>
      </c>
      <c r="D9" s="37"/>
      <c r="E9" s="32" t="str">
        <f>IF(ISBLANK('Control Entry'!F56),"",'Control Entry'!F56)</f>
        <v>INFORMATION</v>
      </c>
      <c r="F9" s="97" t="str">
        <f>IF(ISBLANK('Control Entry'!I56),"",'Control Entry'!I56)</f>
        <v>Marker is 5 metres before stop sign</v>
      </c>
      <c r="G9" s="98"/>
      <c r="H9" s="27" t="s">
        <v>29</v>
      </c>
      <c r="J9" s="15" t="s">
        <v>35</v>
      </c>
      <c r="K9" s="15"/>
      <c r="L9" s="134" t="s">
        <v>54</v>
      </c>
      <c r="M9" s="134"/>
      <c r="N9" s="134"/>
      <c r="O9" s="134"/>
      <c r="P9" s="134"/>
      <c r="Q9" s="134"/>
      <c r="R9" s="134"/>
      <c r="S9" s="134"/>
      <c r="T9" s="134"/>
      <c r="U9" s="134"/>
    </row>
    <row r="10" spans="1:22" ht="36" customHeight="1" thickBot="1" x14ac:dyDescent="0.3">
      <c r="A10" s="38">
        <f>IF(ISBLANK('Control Entry'!D56),"",'Control Entry'!D56)</f>
        <v>855.3</v>
      </c>
      <c r="B10" s="39">
        <f>'Control Entry'!N56</f>
        <v>44787.392361111109</v>
      </c>
      <c r="C10" s="39">
        <f>'Control Entry'!O56</f>
        <v>44788.826388888883</v>
      </c>
      <c r="D10" s="40" t="str">
        <f>IF(ISBLANK('Control Entry'!E56),"",'Control Entry'!E56)</f>
        <v>METCHOSIN</v>
      </c>
      <c r="E10" s="32" t="str">
        <f>IF(ISBLANK('Control Entry'!G56),"",'Control Entry'!G56)</f>
        <v>Heritage Marker</v>
      </c>
      <c r="F10" s="99" t="str">
        <f>IF(ISBLANK('Control Entry'!J56),"",'Control Entry'!J56)</f>
        <v>Name of Helgesen farm ?</v>
      </c>
      <c r="G10" s="98"/>
      <c r="H10" s="27" t="s">
        <v>29</v>
      </c>
      <c r="J10" s="15"/>
      <c r="K10" s="15"/>
      <c r="L10" s="135"/>
      <c r="M10" s="135"/>
      <c r="N10" s="135"/>
      <c r="O10" s="135"/>
      <c r="P10" s="135"/>
      <c r="Q10" s="135"/>
      <c r="R10" s="135"/>
      <c r="S10" s="135"/>
      <c r="T10" s="135"/>
      <c r="U10" s="135"/>
    </row>
    <row r="11" spans="1:22" ht="36" customHeight="1" thickBot="1" x14ac:dyDescent="0.3">
      <c r="A11" s="33"/>
      <c r="B11" s="34">
        <f>'Control Entry'!N56</f>
        <v>44787.392361111109</v>
      </c>
      <c r="C11" s="34">
        <f>'Control Entry'!O56</f>
        <v>44788.826388888883</v>
      </c>
      <c r="D11" s="35"/>
      <c r="E11" s="36" t="str">
        <f>IF(ISBLANK('Control Entry'!H56),"",'Control Entry'!H56)</f>
        <v>Lombard @ William Head</v>
      </c>
      <c r="F11" s="102" t="str">
        <f>IF(ISBLANK('Control Entry'!K56),"",'Control Entry'!K56)</f>
        <v/>
      </c>
      <c r="G11" s="101"/>
      <c r="H11" s="27" t="s">
        <v>29</v>
      </c>
      <c r="J11" s="15" t="s">
        <v>36</v>
      </c>
      <c r="K11" s="15"/>
      <c r="L11" s="135"/>
      <c r="M11" s="135"/>
      <c r="N11" s="135"/>
      <c r="O11" s="18"/>
      <c r="P11" s="18" t="s">
        <v>37</v>
      </c>
      <c r="Q11" s="18"/>
      <c r="R11" s="18"/>
      <c r="S11" s="139"/>
      <c r="T11" s="139"/>
      <c r="U11" s="139"/>
    </row>
    <row r="12" spans="1:22" ht="36" customHeight="1" thickBot="1" x14ac:dyDescent="0.3">
      <c r="A12" s="29"/>
      <c r="B12" s="30">
        <f>'Control Entry'!N57</f>
        <v>44787.440277777772</v>
      </c>
      <c r="C12" s="30">
        <f>'Control Entry'!O57</f>
        <v>44788.943055555552</v>
      </c>
      <c r="D12" s="37"/>
      <c r="E12" s="32" t="str">
        <f>IF(ISBLANK('Control Entry'!F57),"",'Control Entry'!F57)</f>
        <v>INFORMATION</v>
      </c>
      <c r="F12" s="97" t="str">
        <f>IF(ISBLANK('Control Entry'!I57),"",'Control Entry'!I57)</f>
        <v>Blue wheelchair sign on entry door</v>
      </c>
      <c r="G12" s="98"/>
      <c r="H12" s="27" t="s">
        <v>29</v>
      </c>
      <c r="J12" s="15" t="s">
        <v>38</v>
      </c>
      <c r="K12" s="15"/>
      <c r="L12" s="135"/>
      <c r="M12" s="135"/>
      <c r="N12" s="135"/>
      <c r="O12" s="18"/>
      <c r="P12" s="18" t="s">
        <v>39</v>
      </c>
      <c r="Q12" s="18"/>
      <c r="R12" s="18"/>
      <c r="S12" s="139"/>
      <c r="T12" s="139"/>
      <c r="U12" s="139"/>
    </row>
    <row r="13" spans="1:22" ht="36" customHeight="1" thickBot="1" x14ac:dyDescent="0.3">
      <c r="A13" s="38">
        <f>IF(ISBLANK('Control Entry'!D57),"",'Control Entry'!D57)</f>
        <v>887.3</v>
      </c>
      <c r="B13" s="39">
        <f>'Control Entry'!N57</f>
        <v>44787.440277777772</v>
      </c>
      <c r="C13" s="39">
        <f>'Control Entry'!O57</f>
        <v>44788.943055555552</v>
      </c>
      <c r="D13" s="40" t="str">
        <f>IF(ISBLANK('Control Entry'!E57),"",'Control Entry'!E57)</f>
        <v>VICTORIA</v>
      </c>
      <c r="E13" s="32" t="str">
        <f>IF(ISBLANK('Control Entry'!G57),"",'Control Entry'!G57)</f>
        <v>Public Washrooms</v>
      </c>
      <c r="F13" s="97" t="str">
        <f>IF(ISBLANK('Control Entry'!J57),"",'Control Entry'!J57)</f>
        <v>Name above wheelchair?</v>
      </c>
      <c r="G13" s="98"/>
      <c r="H13" s="27" t="s">
        <v>29</v>
      </c>
      <c r="J13" s="15" t="s">
        <v>40</v>
      </c>
      <c r="L13" s="138"/>
      <c r="M13" s="138"/>
      <c r="N13" s="138"/>
      <c r="O13" s="19"/>
      <c r="P13" s="18" t="s">
        <v>41</v>
      </c>
      <c r="Q13" s="18"/>
      <c r="R13" s="143"/>
      <c r="S13" s="143"/>
      <c r="T13" s="143"/>
      <c r="U13" s="143"/>
    </row>
    <row r="14" spans="1:22" ht="36" customHeight="1" thickBot="1" x14ac:dyDescent="0.25">
      <c r="A14" s="33"/>
      <c r="B14" s="34">
        <f>'Control Entry'!N57</f>
        <v>44787.440277777772</v>
      </c>
      <c r="C14" s="34">
        <f>'Control Entry'!O57</f>
        <v>44788.943055555552</v>
      </c>
      <c r="D14" s="35"/>
      <c r="E14" s="36" t="str">
        <f>IF(ISBLANK('Control Entry'!H57),"",'Control Entry'!H57)</f>
        <v>Clover Point</v>
      </c>
      <c r="F14" s="102" t="str">
        <f>IF(ISBLANK('Control Entry'!K57),"",'Control Entry'!K57)</f>
        <v/>
      </c>
      <c r="G14" s="101"/>
      <c r="H14" s="27" t="s">
        <v>29</v>
      </c>
    </row>
    <row r="15" spans="1:22" ht="36" customHeight="1" x14ac:dyDescent="0.2">
      <c r="A15" s="29"/>
      <c r="B15" s="30">
        <f>'Control Entry'!N58</f>
        <v>44787.57708333333</v>
      </c>
      <c r="C15" s="30">
        <f>'Control Entry'!O58</f>
        <v>44789.279166666667</v>
      </c>
      <c r="D15" s="37"/>
      <c r="E15" s="32" t="str">
        <f>IF(ISBLANK('Control Entry'!F58),"",'Control Entry'!F58)</f>
        <v>INFORMATION</v>
      </c>
      <c r="F15" s="97" t="str">
        <f>IF(ISBLANK('Control Entry'!I58),"",'Control Entry'!I58)</f>
        <v>Yellow repair stand</v>
      </c>
      <c r="G15" s="98"/>
      <c r="H15" s="27" t="s">
        <v>29</v>
      </c>
      <c r="J15" s="15"/>
      <c r="L15" s="131" t="s">
        <v>58</v>
      </c>
      <c r="M15" s="131"/>
      <c r="N15" s="131"/>
      <c r="O15" s="131"/>
      <c r="P15" s="131"/>
      <c r="Q15" s="131"/>
      <c r="R15" s="131"/>
      <c r="S15" s="131"/>
      <c r="T15" s="131"/>
      <c r="U15" s="131"/>
    </row>
    <row r="16" spans="1:22" ht="36" customHeight="1" thickBot="1" x14ac:dyDescent="0.25">
      <c r="A16" s="38">
        <f>IF(ISBLANK('Control Entry'!D58),"",'Control Entry'!D58)</f>
        <v>979.4</v>
      </c>
      <c r="B16" s="39">
        <f>'Control Entry'!N58</f>
        <v>44787.57708333333</v>
      </c>
      <c r="C16" s="39">
        <f>'Control Entry'!O58</f>
        <v>44789.279166666667</v>
      </c>
      <c r="D16" s="40" t="str">
        <f>IF(ISBLANK('Control Entry'!E58),"",'Control Entry'!E58)</f>
        <v>SAANICH</v>
      </c>
      <c r="E16" s="32" t="str">
        <f>IF(ISBLANK('Control Entry'!G58),"",'Control Entry'!G58)</f>
        <v>Lochside Trail washroom/repair station</v>
      </c>
      <c r="F16" s="97" t="str">
        <f>IF(ISBLANK('Control Entry'!J58),"",'Control Entry'!J58)</f>
        <v>How many tool cables?</v>
      </c>
      <c r="G16" s="98"/>
      <c r="H16" s="27" t="s">
        <v>29</v>
      </c>
      <c r="L16" s="162"/>
      <c r="M16" s="162"/>
      <c r="N16" s="162"/>
      <c r="O16" s="162"/>
      <c r="P16" s="162"/>
      <c r="Q16" s="162"/>
      <c r="R16" s="162"/>
      <c r="S16" s="162"/>
      <c r="T16" s="162"/>
      <c r="U16" s="162"/>
    </row>
    <row r="17" spans="1:22" ht="36" customHeight="1" thickBot="1" x14ac:dyDescent="0.25">
      <c r="A17" s="33"/>
      <c r="B17" s="34">
        <f>'Control Entry'!N58</f>
        <v>44787.57708333333</v>
      </c>
      <c r="C17" s="34">
        <f>'Control Entry'!O58</f>
        <v>44789.279166666667</v>
      </c>
      <c r="D17" s="35"/>
      <c r="E17" s="36" t="str">
        <f>IF(ISBLANK('Control Entry'!H58),"",'Control Entry'!H58)</f>
        <v xml:space="preserve"> @ Blenkinsop Gnwy</v>
      </c>
      <c r="F17" s="102" t="str">
        <f>IF(ISBLANK('Control Entry'!K58),"",'Control Entry'!K58)</f>
        <v>3          4          5</v>
      </c>
      <c r="G17" s="101"/>
      <c r="H17" s="27" t="s">
        <v>29</v>
      </c>
    </row>
    <row r="18" spans="1:22" ht="36" customHeight="1" x14ac:dyDescent="0.2">
      <c r="A18" s="29"/>
      <c r="B18" s="30">
        <f>'Control Entry'!N59</f>
        <v>44787.615277777775</v>
      </c>
      <c r="C18" s="30">
        <f>'Control Entry'!O59</f>
        <v>44789.354166666664</v>
      </c>
      <c r="D18" s="37"/>
      <c r="E18" s="32" t="str">
        <f>IF(ISBLANK('Control Entry'!F59),"",'Control Entry'!F59)</f>
        <v>STAFFED</v>
      </c>
      <c r="F18" s="97" t="str">
        <f>IF(ISBLANK('Control Entry'!I59),"",'Control Entry'!I59)</f>
        <v/>
      </c>
      <c r="G18" s="98"/>
      <c r="H18" s="27" t="s">
        <v>29</v>
      </c>
    </row>
    <row r="19" spans="1:22" ht="36" customHeight="1" x14ac:dyDescent="0.2">
      <c r="A19" s="38">
        <f>IF(ISBLANK('Control Entry'!D59),"",'Control Entry'!D59)</f>
        <v>1004.7</v>
      </c>
      <c r="B19" s="39">
        <f>'Control Entry'!N59</f>
        <v>44787.615277777775</v>
      </c>
      <c r="C19" s="39">
        <f>'Control Entry'!O59</f>
        <v>44789.354166666664</v>
      </c>
      <c r="D19" s="40" t="str">
        <f>IF(ISBLANK('Control Entry'!E59),"",'Control Entry'!E59)</f>
        <v>SAANICHTON</v>
      </c>
      <c r="E19" s="32" t="str">
        <f>IF(ISBLANK('Control Entry'!G59),"",'Control Entry'!G59)</f>
        <v>Waddling Dog Inn</v>
      </c>
      <c r="F19" s="97" t="str">
        <f>IF(ISBLANK('Control Entry'!J59),"",'Control Entry'!J59)</f>
        <v/>
      </c>
      <c r="G19" s="98"/>
      <c r="H19" s="27" t="s">
        <v>29</v>
      </c>
    </row>
    <row r="20" spans="1:22" ht="36" customHeight="1" thickBot="1" x14ac:dyDescent="0.25">
      <c r="A20" s="33"/>
      <c r="B20" s="34">
        <f>'Control Entry'!N59</f>
        <v>44787.615277777775</v>
      </c>
      <c r="C20" s="34">
        <f>'Control Entry'!O59</f>
        <v>44789.354166666664</v>
      </c>
      <c r="D20" s="35"/>
      <c r="E20" s="36" t="str">
        <f>IF(ISBLANK('Control Entry'!H59),"",'Control Entry'!H59)</f>
        <v>2476 Mt. Newton Cross Rd.</v>
      </c>
      <c r="F20" s="102" t="str">
        <f>IF(ISBLANK('Control Entry'!K59),"",'Control Entry'!K59)</f>
        <v/>
      </c>
      <c r="G20" s="101"/>
      <c r="H20" s="27" t="s">
        <v>29</v>
      </c>
      <c r="J20" s="59" t="s">
        <v>44</v>
      </c>
      <c r="K20" s="59"/>
      <c r="L20" s="154">
        <f>IF(ISBLANK('Control Entry'!B12),"",'Control Entry'!B12)</f>
        <v>44786</v>
      </c>
      <c r="M20" s="154"/>
      <c r="N20" s="154"/>
      <c r="P20" s="18" t="s">
        <v>0</v>
      </c>
      <c r="Q20" s="18"/>
      <c r="S20" s="130">
        <f>IF(ISBLANK('Control Entry'!B13),"",'Control Entry'!B13)</f>
        <v>0.22916666666666666</v>
      </c>
      <c r="T20" s="130"/>
      <c r="U20" s="130"/>
    </row>
    <row r="21" spans="1:22" ht="36" customHeight="1" x14ac:dyDescent="0.2">
      <c r="A21" s="29"/>
      <c r="B21" s="30" t="str">
        <f>'Control Entry'!N60</f>
        <v/>
      </c>
      <c r="C21" s="30" t="str">
        <f>'Control Entry'!O60</f>
        <v/>
      </c>
      <c r="D21" s="37"/>
      <c r="E21" s="32" t="str">
        <f>IF(ISBLANK('Control Entry'!F60),"",'Control Entry'!F60)</f>
        <v/>
      </c>
      <c r="F21" s="97" t="str">
        <f>IF(ISBLANK('Control Entry'!I60),"",'Control Entry'!I60)</f>
        <v/>
      </c>
      <c r="G21" s="98"/>
      <c r="H21" s="27" t="s">
        <v>29</v>
      </c>
      <c r="J21" s="160" t="s">
        <v>90</v>
      </c>
      <c r="K21" s="160"/>
      <c r="L21" s="160"/>
      <c r="M21" s="160"/>
      <c r="N21" s="160"/>
      <c r="O21" s="160"/>
      <c r="P21" s="160"/>
      <c r="Q21" s="160"/>
      <c r="R21" s="160"/>
      <c r="S21" s="160"/>
      <c r="T21" s="160"/>
      <c r="U21" s="160"/>
      <c r="V21" s="28"/>
    </row>
    <row r="22" spans="1:22" ht="36" customHeight="1" thickBot="1" x14ac:dyDescent="0.25">
      <c r="A22" s="38" t="str">
        <f>IF(ISBLANK('Control Entry'!D60),"",'Control Entry'!D60)</f>
        <v/>
      </c>
      <c r="B22" s="39" t="str">
        <f>'Control Entry'!N60</f>
        <v/>
      </c>
      <c r="C22" s="39" t="str">
        <f>'Control Entry'!O60</f>
        <v/>
      </c>
      <c r="D22" s="40" t="str">
        <f>IF(ISBLANK('Control Entry'!E60),"",'Control Entry'!E60)</f>
        <v/>
      </c>
      <c r="E22" s="32" t="str">
        <f>IF(ISBLANK('Control Entry'!G60),"",'Control Entry'!G60)</f>
        <v/>
      </c>
      <c r="F22" s="97" t="str">
        <f>IF(ISBLANK('Control Entry'!J60),"",'Control Entry'!J60)</f>
        <v/>
      </c>
      <c r="G22" s="98"/>
      <c r="H22" s="27" t="s">
        <v>29</v>
      </c>
      <c r="J22" s="18" t="s">
        <v>45</v>
      </c>
      <c r="K22" s="18"/>
      <c r="L22" s="19"/>
      <c r="M22" s="133"/>
      <c r="N22" s="133"/>
      <c r="O22" s="133"/>
      <c r="P22" s="18" t="s">
        <v>1</v>
      </c>
      <c r="Q22" s="18"/>
      <c r="R22" s="19"/>
      <c r="S22" s="133"/>
      <c r="T22" s="133"/>
      <c r="U22" s="133"/>
    </row>
    <row r="23" spans="1:22" ht="36" customHeight="1" thickBot="1" x14ac:dyDescent="0.25">
      <c r="A23" s="33"/>
      <c r="B23" s="34" t="str">
        <f>'Control Entry'!N60</f>
        <v/>
      </c>
      <c r="C23" s="34" t="str">
        <f>'Control Entry'!O60</f>
        <v/>
      </c>
      <c r="D23" s="35"/>
      <c r="E23" s="36" t="str">
        <f>IF(ISBLANK('Control Entry'!H60),"",'Control Entry'!H60)</f>
        <v/>
      </c>
      <c r="F23" s="102" t="str">
        <f>IF(ISBLANK('Control Entry'!K60),"",'Control Entry'!K60)</f>
        <v/>
      </c>
      <c r="G23" s="101"/>
      <c r="H23" s="27" t="s">
        <v>29</v>
      </c>
      <c r="J23" s="81"/>
      <c r="K23" s="81"/>
      <c r="L23" s="57"/>
      <c r="M23" s="57"/>
      <c r="N23" s="57"/>
      <c r="O23" s="22"/>
      <c r="P23" s="56"/>
      <c r="Q23" s="56"/>
      <c r="R23" s="22"/>
      <c r="S23" s="22"/>
      <c r="T23" s="22"/>
      <c r="U23" s="22"/>
      <c r="V23" s="28"/>
    </row>
    <row r="24" spans="1:22" ht="36" customHeight="1" thickBot="1" x14ac:dyDescent="0.25">
      <c r="A24" s="29"/>
      <c r="B24" s="30" t="str">
        <f>'Control Entry'!N61</f>
        <v/>
      </c>
      <c r="C24" s="30" t="str">
        <f>'Control Entry'!O61</f>
        <v/>
      </c>
      <c r="D24" s="37"/>
      <c r="E24" s="32" t="str">
        <f>IF(ISBLANK('Control Entry'!F61),"",'Control Entry'!F61)</f>
        <v/>
      </c>
      <c r="F24" s="97" t="str">
        <f>IF(ISBLANK('Control Entry'!I61),"",'Control Entry'!I61)</f>
        <v/>
      </c>
      <c r="G24" s="98"/>
      <c r="H24" s="27" t="s">
        <v>29</v>
      </c>
      <c r="J24" s="133"/>
      <c r="K24" s="133"/>
      <c r="L24" s="133"/>
      <c r="M24" s="133"/>
      <c r="N24" s="133"/>
      <c r="O24" s="19"/>
      <c r="P24" s="18" t="s">
        <v>2</v>
      </c>
      <c r="Q24" s="18"/>
      <c r="R24" s="19"/>
      <c r="S24" s="133"/>
      <c r="T24" s="133"/>
      <c r="U24" s="133"/>
    </row>
    <row r="25" spans="1:22" ht="36" customHeight="1" x14ac:dyDescent="0.2">
      <c r="A25" s="38" t="str">
        <f>IF(ISBLANK('Control Entry'!D61),"",'Control Entry'!D61)</f>
        <v/>
      </c>
      <c r="B25" s="39" t="str">
        <f>'Control Entry'!N61</f>
        <v/>
      </c>
      <c r="C25" s="39" t="str">
        <f>'Control Entry'!O61</f>
        <v/>
      </c>
      <c r="D25" s="40" t="str">
        <f>IF(ISBLANK('Control Entry'!E61),"",'Control Entry'!E61)</f>
        <v/>
      </c>
      <c r="E25" s="32" t="str">
        <f>IF(ISBLANK('Control Entry'!G61),"",'Control Entry'!G61)</f>
        <v/>
      </c>
      <c r="F25" s="97" t="str">
        <f>IF(ISBLANK('Control Entry'!J61),"",'Control Entry'!J61)</f>
        <v/>
      </c>
      <c r="G25" s="98"/>
      <c r="H25" s="27" t="s">
        <v>29</v>
      </c>
      <c r="J25" s="128" t="s">
        <v>17</v>
      </c>
      <c r="K25" s="128"/>
      <c r="L25" s="128"/>
      <c r="M25" s="128"/>
      <c r="N25" s="128"/>
      <c r="O25" s="51"/>
      <c r="P25" s="127"/>
      <c r="Q25" s="127"/>
      <c r="R25" s="51"/>
      <c r="S25" s="142"/>
      <c r="T25" s="142"/>
      <c r="U25" s="142"/>
      <c r="V25" s="142"/>
    </row>
    <row r="26" spans="1:22" ht="36" customHeight="1" thickBot="1" x14ac:dyDescent="0.25">
      <c r="A26" s="33"/>
      <c r="B26" s="34" t="str">
        <f>'Control Entry'!N61</f>
        <v/>
      </c>
      <c r="C26" s="34" t="str">
        <f>'Control Entry'!O61</f>
        <v/>
      </c>
      <c r="D26" s="35"/>
      <c r="E26" s="36" t="str">
        <f>IF(ISBLANK('Control Entry'!H61),"",'Control Entry'!H61)</f>
        <v/>
      </c>
      <c r="F26" s="102" t="str">
        <f>IF(ISBLANK('Control Entry'!K61),"",'Control Entry'!K61)</f>
        <v/>
      </c>
      <c r="G26" s="101"/>
      <c r="H26" s="27" t="s">
        <v>29</v>
      </c>
    </row>
    <row r="27" spans="1:22" ht="36" customHeight="1" x14ac:dyDescent="0.2">
      <c r="A27" s="29"/>
      <c r="B27" s="30" t="str">
        <f>'Control Entry'!N62</f>
        <v/>
      </c>
      <c r="C27" s="30" t="str">
        <f>'Control Entry'!O62</f>
        <v/>
      </c>
      <c r="D27" s="37"/>
      <c r="E27" s="32" t="str">
        <f>IF(ISBLANK('Control Entry'!F62),"",'Control Entry'!F62)</f>
        <v>STAFFED</v>
      </c>
      <c r="F27" s="97" t="str">
        <f>IF(ISBLANK('Control Entry'!I62),"",'Control Entry'!I62)</f>
        <v/>
      </c>
      <c r="G27" s="98"/>
      <c r="H27" s="27" t="s">
        <v>29</v>
      </c>
      <c r="K27" s="126" t="s">
        <v>56</v>
      </c>
      <c r="L27" s="127"/>
      <c r="M27" s="50" t="s">
        <v>57</v>
      </c>
      <c r="N27" s="127" t="s">
        <v>49</v>
      </c>
      <c r="O27" s="127"/>
      <c r="P27" s="127" t="s">
        <v>50</v>
      </c>
      <c r="Q27" s="127"/>
      <c r="R27" s="51" t="s">
        <v>51</v>
      </c>
      <c r="S27" s="142" t="s">
        <v>52</v>
      </c>
      <c r="T27" s="142"/>
      <c r="U27" s="142" t="s">
        <v>53</v>
      </c>
      <c r="V27" s="142"/>
    </row>
    <row r="28" spans="1:22" ht="36" customHeight="1" x14ac:dyDescent="0.2">
      <c r="A28" s="38" t="str">
        <f>IF(ISBLANK('Control Entry'!D62),"",'Control Entry'!D62)</f>
        <v/>
      </c>
      <c r="B28" s="39" t="str">
        <f>'Control Entry'!N62</f>
        <v/>
      </c>
      <c r="C28" s="39" t="str">
        <f>'Control Entry'!O62</f>
        <v/>
      </c>
      <c r="D28" s="40" t="str">
        <f>IF(ISBLANK('Control Entry'!E62),"",'Control Entry'!E62)</f>
        <v>Secret</v>
      </c>
      <c r="E28" s="32" t="str">
        <f>IF(ISBLANK('Control Entry'!G62),"",'Control Entry'!G62)</f>
        <v/>
      </c>
      <c r="F28" s="97" t="str">
        <f>IF(ISBLANK('Control Entry'!J62),"",'Control Entry'!J62)</f>
        <v/>
      </c>
      <c r="G28" s="98"/>
      <c r="H28" s="27" t="s">
        <v>29</v>
      </c>
    </row>
    <row r="29" spans="1:22" ht="36" customHeight="1" thickBot="1" x14ac:dyDescent="0.25">
      <c r="A29" s="33"/>
      <c r="B29" s="34" t="str">
        <f>'Control Entry'!N62</f>
        <v/>
      </c>
      <c r="C29" s="34" t="str">
        <f>'Control Entry'!O62</f>
        <v/>
      </c>
      <c r="D29" s="35"/>
      <c r="E29" s="36" t="str">
        <f>IF(ISBLANK('Control Entry'!H62),"",'Control Entry'!H62)</f>
        <v/>
      </c>
      <c r="F29" s="102" t="str">
        <f>IF(ISBLANK('Control Entry'!K62),"",'Control Entry'!K62)</f>
        <v/>
      </c>
      <c r="G29" s="101"/>
      <c r="H29" s="27" t="s">
        <v>29</v>
      </c>
      <c r="M29" s="155" t="s">
        <v>42</v>
      </c>
      <c r="N29" s="155"/>
      <c r="O29" s="155"/>
      <c r="P29" s="155"/>
      <c r="Q29" s="155"/>
      <c r="R29" s="155"/>
      <c r="S29" s="155"/>
      <c r="T29" s="155"/>
      <c r="U29" s="54"/>
    </row>
    <row r="30" spans="1:22" ht="36" customHeight="1" x14ac:dyDescent="0.2">
      <c r="A30" s="29"/>
      <c r="B30" s="30" t="str">
        <f>'Control Entry'!N63</f>
        <v/>
      </c>
      <c r="C30" s="30" t="str">
        <f>'Control Entry'!O63</f>
        <v/>
      </c>
      <c r="D30" s="37"/>
      <c r="E30" s="32" t="str">
        <f>IF(ISBLANK('Control Entry'!F63),"",'Control Entry'!F63)</f>
        <v/>
      </c>
      <c r="F30" s="97" t="str">
        <f>IF(ISBLANK('Control Entry'!I63),"",'Control Entry'!I63)</f>
        <v/>
      </c>
      <c r="G30" s="98"/>
      <c r="H30" s="27" t="s">
        <v>29</v>
      </c>
      <c r="M30" s="16"/>
      <c r="N30" s="20"/>
      <c r="O30" s="20"/>
      <c r="P30" s="21"/>
      <c r="Q30" s="104"/>
      <c r="R30" s="20"/>
      <c r="S30" s="20"/>
      <c r="T30" s="21"/>
      <c r="U30" s="22"/>
    </row>
    <row r="31" spans="1:22" ht="36" customHeight="1" x14ac:dyDescent="0.2">
      <c r="A31" s="38" t="str">
        <f>IF(ISBLANK('Control Entry'!D63),"",'Control Entry'!D63)</f>
        <v/>
      </c>
      <c r="B31" s="39" t="str">
        <f>'Control Entry'!N63</f>
        <v/>
      </c>
      <c r="C31" s="39" t="str">
        <f>'Control Entry'!O63</f>
        <v/>
      </c>
      <c r="D31" s="40" t="str">
        <f>IF(ISBLANK('Control Entry'!E63),"",'Control Entry'!E63)</f>
        <v/>
      </c>
      <c r="E31" s="32" t="str">
        <f>IF(ISBLANK('Control Entry'!G63),"",'Control Entry'!G63)</f>
        <v/>
      </c>
      <c r="F31" s="97" t="str">
        <f>IF(ISBLANK('Control Entry'!J63),"",'Control Entry'!J63)</f>
        <v/>
      </c>
      <c r="G31" s="98"/>
      <c r="H31" s="27" t="s">
        <v>29</v>
      </c>
      <c r="M31" s="17"/>
      <c r="N31" s="22"/>
      <c r="O31" s="22"/>
      <c r="P31" s="23"/>
      <c r="Q31" s="105"/>
      <c r="R31" s="22"/>
      <c r="S31" s="22"/>
      <c r="T31" s="23"/>
      <c r="U31" s="22"/>
    </row>
    <row r="32" spans="1:22" ht="36" customHeight="1" thickBot="1" x14ac:dyDescent="0.25">
      <c r="A32" s="33"/>
      <c r="B32" s="34" t="str">
        <f>'Control Entry'!N63</f>
        <v/>
      </c>
      <c r="C32" s="34" t="str">
        <f>'Control Entry'!O63</f>
        <v/>
      </c>
      <c r="D32" s="35"/>
      <c r="E32" s="36" t="str">
        <f>IF(ISBLANK('Control Entry'!H63),"",'Control Entry'!H63)</f>
        <v/>
      </c>
      <c r="F32" s="102" t="str">
        <f>IF(ISBLANK('Control Entry'!K63),"",'Control Entry'!K63)</f>
        <v/>
      </c>
      <c r="G32" s="101"/>
      <c r="H32" s="27" t="s">
        <v>29</v>
      </c>
      <c r="M32" s="147" t="s">
        <v>82</v>
      </c>
      <c r="N32" s="148"/>
      <c r="O32" s="148"/>
      <c r="P32" s="149"/>
      <c r="Q32" s="150">
        <f>'Control Entry'!B3</f>
        <v>44700</v>
      </c>
      <c r="R32" s="151"/>
      <c r="S32" s="151"/>
      <c r="T32" s="152"/>
      <c r="U32" s="22"/>
    </row>
    <row r="33" spans="1:22" ht="36" customHeight="1" x14ac:dyDescent="0.2">
      <c r="A33" s="141" t="s">
        <v>43</v>
      </c>
      <c r="B33" s="141"/>
      <c r="C33" s="141"/>
      <c r="D33" s="141"/>
      <c r="E33" s="141"/>
      <c r="F33" s="141"/>
      <c r="G33" s="141"/>
      <c r="H33" s="41"/>
      <c r="I33" s="41"/>
      <c r="M33" s="156" t="s">
        <v>86</v>
      </c>
      <c r="N33" s="157"/>
      <c r="O33" s="157"/>
      <c r="P33" s="157"/>
      <c r="Q33" s="158">
        <f>'Control Entry'!B4</f>
        <v>44783</v>
      </c>
      <c r="R33" s="159"/>
      <c r="S33" s="159"/>
      <c r="T33" s="159"/>
      <c r="U33" s="92"/>
      <c r="V33" s="57"/>
    </row>
    <row r="34" spans="1:22" ht="36" customHeight="1" x14ac:dyDescent="0.2">
      <c r="A34"/>
      <c r="O34" s="47"/>
      <c r="P34" s="47"/>
      <c r="Q34" s="47"/>
      <c r="R34" s="46"/>
    </row>
    <row r="35" spans="1:22" ht="36" customHeight="1" x14ac:dyDescent="0.2">
      <c r="A35"/>
      <c r="N35" s="155"/>
      <c r="O35" s="155"/>
      <c r="P35" s="155"/>
      <c r="Q35" s="155"/>
      <c r="R35" s="155"/>
      <c r="S35" s="155"/>
      <c r="T35" s="155"/>
      <c r="U35" s="155"/>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m+5DxS5z0jGPz2enrJCRgFwjkf0y6S+KVRFuN1IjzuBtg7DxgRkCvJA9CD6YWcWRfvJNtgkjCl2dSguY7geJVQ==" saltValue="ged3XotTQX8HcL4AYG6aUg==" spinCount="100000" sheet="1" objects="1" scenarios="1" formatCells="0" selectLockedCells="1"/>
  <mergeCells count="42">
    <mergeCell ref="A33:G33"/>
    <mergeCell ref="M33:P33"/>
    <mergeCell ref="Q33:T33"/>
    <mergeCell ref="N35:U35"/>
    <mergeCell ref="K27:L27"/>
    <mergeCell ref="N27:O27"/>
    <mergeCell ref="P27:Q27"/>
    <mergeCell ref="S27:T27"/>
    <mergeCell ref="U27:V27"/>
    <mergeCell ref="M29:T29"/>
    <mergeCell ref="M32:P32"/>
    <mergeCell ref="Q32:T32"/>
    <mergeCell ref="J25:N25"/>
    <mergeCell ref="P25:Q25"/>
    <mergeCell ref="S25:T25"/>
    <mergeCell ref="U25:V25"/>
    <mergeCell ref="L12:N12"/>
    <mergeCell ref="S12:U12"/>
    <mergeCell ref="L13:N13"/>
    <mergeCell ref="R13:U13"/>
    <mergeCell ref="L15:U15"/>
    <mergeCell ref="L16:U16"/>
    <mergeCell ref="L20:N20"/>
    <mergeCell ref="S20:U20"/>
    <mergeCell ref="S22:U22"/>
    <mergeCell ref="J24:N24"/>
    <mergeCell ref="S24:U24"/>
    <mergeCell ref="M22:O22"/>
    <mergeCell ref="J21:U21"/>
    <mergeCell ref="L11:N11"/>
    <mergeCell ref="S11:U11"/>
    <mergeCell ref="A1:G1"/>
    <mergeCell ref="K2:U2"/>
    <mergeCell ref="O3:R3"/>
    <mergeCell ref="M4:T4"/>
    <mergeCell ref="N5:O5"/>
    <mergeCell ref="R5:U5"/>
    <mergeCell ref="L6:U6"/>
    <mergeCell ref="L8:Q8"/>
    <mergeCell ref="T8:U8"/>
    <mergeCell ref="L9:U9"/>
    <mergeCell ref="L10:U10"/>
  </mergeCells>
  <conditionalFormatting sqref="K27:V27">
    <cfRule type="expression" dxfId="6" priority="8">
      <formula>$S$3="#4"</formula>
    </cfRule>
    <cfRule type="expression" dxfId="5" priority="7">
      <formula>$S$3="#2"</formula>
    </cfRule>
  </conditionalFormatting>
  <conditionalFormatting sqref="P22:U24">
    <cfRule type="expression" dxfId="4" priority="6">
      <formula>$S$3="#4"</formula>
    </cfRule>
    <cfRule type="expression" dxfId="3" priority="5">
      <formula>$S$3="#2"</formula>
    </cfRule>
  </conditionalFormatting>
  <conditionalFormatting sqref="J22:O22">
    <cfRule type="expression" dxfId="2" priority="3">
      <formula>$S$3="#2"</formula>
    </cfRule>
    <cfRule type="expression" dxfId="1" priority="4">
      <formula>$S$3="#4"</formula>
    </cfRule>
  </conditionalFormatting>
  <conditionalFormatting sqref="J21:U21">
    <cfRule type="expression" dxfId="0" priority="2">
      <formula>AND($S$3&lt;&gt;"#2",$S$3&lt;&gt;"#4")</formula>
    </cfRule>
  </conditionalFormatting>
  <printOptions horizontalCentered="1" verticalCentered="1"/>
  <pageMargins left="0.2" right="0.2" top="0.2" bottom="0.2" header="0.51" footer="0.51"/>
  <pageSetup scale="45" orientation="landscape"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30</vt:i4>
      </vt:variant>
    </vt:vector>
  </HeadingPairs>
  <TitlesOfParts>
    <vt:vector size="35" baseType="lpstr">
      <vt:lpstr>Control Entry</vt:lpstr>
      <vt:lpstr>Control Card #1</vt:lpstr>
      <vt:lpstr>Control Card #2</vt:lpstr>
      <vt:lpstr>Control Card #3</vt:lpstr>
      <vt:lpstr>Control Card #4</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'Control Card #1'!Print_Titles</vt:lpstr>
      <vt:lpstr>'Control Card #2'!Print_Titles</vt:lpstr>
      <vt:lpstr>'Control Card #3'!Print_Titles</vt:lpstr>
      <vt:lpstr>'Control Card #4'!Print_Titles</vt:lpstr>
      <vt:lpstr>Start_date</vt:lpstr>
      <vt:lpstr>Start_time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Stephen Hinde</cp:lastModifiedBy>
  <cp:lastPrinted>2022-08-11T01:47:30Z</cp:lastPrinted>
  <dcterms:created xsi:type="dcterms:W3CDTF">1997-11-12T04:43:39Z</dcterms:created>
  <dcterms:modified xsi:type="dcterms:W3CDTF">2022-08-11T01:47:40Z</dcterms:modified>
</cp:coreProperties>
</file>