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showInkAnnotation="0" autoCompressPictures="0"/>
  <mc:AlternateContent xmlns:mc="http://schemas.openxmlformats.org/markup-compatibility/2006">
    <mc:Choice Requires="x15">
      <x15ac:absPath xmlns:x15ac="http://schemas.microsoft.com/office/spreadsheetml/2010/11/ac" url="/Users/stephencarol/Documents/BCR/2021/"/>
    </mc:Choice>
  </mc:AlternateContent>
  <xr:revisionPtr revIDLastSave="0" documentId="13_ncr:1_{8B9CE3BA-5F05-E64F-8D99-B414A9A4CB76}" xr6:coauthVersionLast="36" xr6:coauthVersionMax="36" xr10:uidLastSave="{00000000-0000-0000-0000-000000000000}"/>
  <bookViews>
    <workbookView xWindow="0" yWindow="460" windowWidth="25600" windowHeight="15540" tabRatio="509" xr2:uid="{00000000-000D-0000-FFFF-FFFF00000000}"/>
  </bookViews>
  <sheets>
    <sheet name="Control Entry" sheetId="1" r:id="rId1"/>
    <sheet name="Control Card Victoria Start" sheetId="2" r:id="rId2"/>
    <sheet name="Control Card North Saanic Start" sheetId="3" r:id="rId3"/>
  </sheets>
  <definedNames>
    <definedName name="Address_1" localSheetId="2">#REF!</definedName>
    <definedName name="Address_1">#REF!</definedName>
    <definedName name="Address_2" localSheetId="2">#REF!</definedName>
    <definedName name="Address_2">#REF!</definedName>
    <definedName name="brevet">'Control Entry'!$C$1</definedName>
    <definedName name="Brevet_Description">'Control Entry'!$B$3</definedName>
    <definedName name="Brevet_Length">'Control Entry'!$B$1</definedName>
    <definedName name="Brevet_Number">'Control Entry'!$B$4</definedName>
    <definedName name="City" localSheetId="2">#REF!</definedName>
    <definedName name="City">#REF!</definedName>
    <definedName name="Close">'Control Entry'!$M$10:$M$19</definedName>
    <definedName name="Close_time">'Control Entry'!$O$10:$O$19</definedName>
    <definedName name="Control_1">'Control Entry'!$D$10:$O$10</definedName>
    <definedName name="Control_10">'Control Entry'!$D$19:$O$19</definedName>
    <definedName name="Control_11" localSheetId="2">'Control Entry'!#REF!</definedName>
    <definedName name="Control_11">'Control Entry'!#REF!</definedName>
    <definedName name="Control_12" localSheetId="2">'Control Entry'!#REF!</definedName>
    <definedName name="Control_12">'Control Entry'!#REF!</definedName>
    <definedName name="Control_13" localSheetId="2">'Control Entry'!#REF!</definedName>
    <definedName name="Control_13">'Control Entry'!#REF!</definedName>
    <definedName name="Control_14" localSheetId="2">'Control Entry'!#REF!</definedName>
    <definedName name="Control_14">'Control Entry'!#REF!</definedName>
    <definedName name="Control_15" localSheetId="2">'Control Entry'!#REF!</definedName>
    <definedName name="Control_15">'Control Entry'!#REF!</definedName>
    <definedName name="Control_16" localSheetId="2">'Control Entry'!#REF!</definedName>
    <definedName name="Control_16">'Control Entry'!#REF!</definedName>
    <definedName name="Control_17" localSheetId="2">'Control Entry'!#REF!</definedName>
    <definedName name="Control_17">'Control Entry'!#REF!</definedName>
    <definedName name="Control_18" localSheetId="2">'Control Entry'!#REF!</definedName>
    <definedName name="Control_18">'Control Entry'!#REF!</definedName>
    <definedName name="Control_19" localSheetId="2">'Control Entry'!#REF!</definedName>
    <definedName name="Control_19">'Control Entry'!#REF!</definedName>
    <definedName name="Control_2">'Control Entry'!$D$11:$O$11</definedName>
    <definedName name="Control_20" localSheetId="2">'Control Entry'!#REF!</definedName>
    <definedName name="Control_20">'Control Entry'!#REF!</definedName>
    <definedName name="Control_3">'Control Entry'!$D$12:$O$12</definedName>
    <definedName name="Control_4">'Control Entry'!$D$13:$O$13</definedName>
    <definedName name="Control_5">'Control Entry'!$D$14:$O$14</definedName>
    <definedName name="Control_6">'Control Entry'!$D$15:$O$15</definedName>
    <definedName name="Control_7">'Control Entry'!$D$16:$O$16</definedName>
    <definedName name="Control_8">'Control Entry'!$D$17:$O$17</definedName>
    <definedName name="Control_9">'Control Entry'!$D$18:$O$18</definedName>
    <definedName name="Country" localSheetId="2">#REF!</definedName>
    <definedName name="Country">#REF!</definedName>
    <definedName name="Distance">'Control Entry'!$D$10:$D$19</definedName>
    <definedName name="email" localSheetId="2">#REF!</definedName>
    <definedName name="email">#REF!</definedName>
    <definedName name="Establishment_1">'Control Entry'!$F$10:$F$19</definedName>
    <definedName name="Establishment_2">'Control Entry'!$G$10:$G$19</definedName>
    <definedName name="Establishment_3">'Control Entry'!$H$10:$H$19</definedName>
    <definedName name="Fax" localSheetId="2">#REF!</definedName>
    <definedName name="Fax">#REF!</definedName>
    <definedName name="First_Name" localSheetId="2">#REF!</definedName>
    <definedName name="First_Name">#REF!</definedName>
    <definedName name="Home_telephone" localSheetId="2">#REF!</definedName>
    <definedName name="Home_telephone">#REF!</definedName>
    <definedName name="HTML_CodePage" hidden="1">1252</definedName>
    <definedName name="HTML_Control" hidden="1">{"'Web sheet'!$A$1:$D$92"}</definedName>
    <definedName name="HTML_Description" hidden="1">""</definedName>
    <definedName name="HTML_Email" hidden="1">"randos@island.net"</definedName>
    <definedName name="HTML_Header" hidden="1">"Web sheet"</definedName>
    <definedName name="HTML_LastUpdate" hidden="1">"99-03-06"</definedName>
    <definedName name="HTML_LineAfter" hidden="1">TRUE</definedName>
    <definedName name="HTML_LineBefore" hidden="1">TRUE</definedName>
    <definedName name="HTML_Name" hidden="1">"Stephen Hinde"</definedName>
    <definedName name="HTML_OBDlg2" hidden="1">TRUE</definedName>
    <definedName name="HTML_OBDlg4" hidden="1">TRUE</definedName>
    <definedName name="HTML_OS" hidden="1">0</definedName>
    <definedName name="HTML_PathFile" hidden="1">"C:\My Documents\excel\MyHTML.htm"</definedName>
    <definedName name="HTML_Title" hidden="1">"VI0100B Nanaimo Populaire"</definedName>
    <definedName name="HTML1_1" hidden="1">"'[vi0100b.xls]VI0100B 970310'!$A$3:$D$22"</definedName>
    <definedName name="HTML1_10" hidden="1">"randos@island.net"</definedName>
    <definedName name="HTML1_11" hidden="1">1</definedName>
    <definedName name="HTML1_12" hidden="1">"C:\My Documents\Web Page\vi0100b.htm"</definedName>
    <definedName name="HTML1_2" hidden="1">1</definedName>
    <definedName name="HTML1_3" hidden="1">"100 km Populaire"</definedName>
    <definedName name="HTML1_4" hidden="1">"VI0100B 970310"</definedName>
    <definedName name="HTML1_5" hidden="1">"Nanaimo--Lantzville--Nanaimo--Yellow Point--Nanaimo"</definedName>
    <definedName name="HTML1_6" hidden="1">1</definedName>
    <definedName name="HTML1_7" hidden="1">1</definedName>
    <definedName name="HTML1_8" hidden="1">"26/10/97"</definedName>
    <definedName name="HTML1_9" hidden="1">"Stephen Hinde"</definedName>
    <definedName name="HTML2_1" hidden="1">"'[vi0100b.xls]VI0100B 970310'!$A$1:$D$22"</definedName>
    <definedName name="HTML2_10" hidden="1">"randos@island.net"</definedName>
    <definedName name="HTML2_11" hidden="1">1</definedName>
    <definedName name="HTML2_12" hidden="1">"C:\My Documents\Web Page\vi0100b.htm"</definedName>
    <definedName name="HTML2_2" hidden="1">1</definedName>
    <definedName name="HTML2_3" hidden="1">"100 km Populaire"</definedName>
    <definedName name="HTML2_4" hidden="1">"VI0100B 970310"</definedName>
    <definedName name="HTML2_5" hidden="1">"Nanaimo--Lantzville--Nanaimo--Yellow Point--Nanaimo"</definedName>
    <definedName name="HTML2_6" hidden="1">1</definedName>
    <definedName name="HTML2_7" hidden="1">1</definedName>
    <definedName name="HTML2_8" hidden="1">"26/10/97"</definedName>
    <definedName name="HTML2_9" hidden="1">"Stephen Hinde"</definedName>
    <definedName name="HTML3_1" hidden="1">"'[vi0100b.xls]VI0100B 970310'!$A$1:$D$24"</definedName>
    <definedName name="HTML3_10" hidden="1">"randos@island.net"</definedName>
    <definedName name="HTML3_11" hidden="1">1</definedName>
    <definedName name="HTML3_12" hidden="1">"C:\My Documents\excel\vi0100b.htm"</definedName>
    <definedName name="HTML3_2" hidden="1">1</definedName>
    <definedName name="HTML3_3" hidden="1">"Vancouver Island Populaire"</definedName>
    <definedName name="HTML3_4" hidden="1">"VI0100B 970310"</definedName>
    <definedName name="HTML3_5" hidden="1">"Nanaimo--Lantzville--Yellow Point--Nanaimo"</definedName>
    <definedName name="HTML3_6" hidden="1">1</definedName>
    <definedName name="HTML3_7" hidden="1">1</definedName>
    <definedName name="HTML3_8" hidden="1">"26/10/97"</definedName>
    <definedName name="HTML3_9" hidden="1">"Stephen Hinde"</definedName>
    <definedName name="HTML4_1" hidden="1">"'[VI0100B.xls]VI0100B 971026'!$A$1:$I$47"</definedName>
    <definedName name="HTML4_10" hidden="1">""</definedName>
    <definedName name="HTML4_11" hidden="1">1</definedName>
    <definedName name="HTML4_12" hidden="1">"C:\My Documents\Web Page\VI0100B.htm"</definedName>
    <definedName name="HTML4_2" hidden="1">1</definedName>
    <definedName name="HTML4_3" hidden="1">"VI0100B"</definedName>
    <definedName name="HTML4_4" hidden="1">"VI0100B 971026"</definedName>
    <definedName name="HTML4_5" hidden="1">""</definedName>
    <definedName name="HTML4_6" hidden="1">-4146</definedName>
    <definedName name="HTML4_7" hidden="1">-4146</definedName>
    <definedName name="HTML4_8" hidden="1">"26/10/97"</definedName>
    <definedName name="HTML4_9" hidden="1">"Stephen Hinde"</definedName>
    <definedName name="HTML5_1" hidden="1">"'[VI0100B.xls]VI0100B 971026'!$A$1:$I$23"</definedName>
    <definedName name="HTML5_10" hidden="1">""</definedName>
    <definedName name="HTML5_11" hidden="1">1</definedName>
    <definedName name="HTML5_12" hidden="1">"C:\My Documents\Web Page\VI0100B top.htm"</definedName>
    <definedName name="HTML5_2" hidden="1">1</definedName>
    <definedName name="HTML5_3" hidden="1">"VI0100B"</definedName>
    <definedName name="HTML5_4" hidden="1">"VI0100B 971026"</definedName>
    <definedName name="HTML5_5" hidden="1">""</definedName>
    <definedName name="HTML5_6" hidden="1">-4146</definedName>
    <definedName name="HTML5_7" hidden="1">-4146</definedName>
    <definedName name="HTML5_8" hidden="1">"97-10-26"</definedName>
    <definedName name="HTML5_9" hidden="1">"Stephen Hinde"</definedName>
    <definedName name="HTML6_1" hidden="1">"'[VI0100B.xls]VI0100B 971026'!$A$25:$I$47"</definedName>
    <definedName name="HTML6_10" hidden="1">""</definedName>
    <definedName name="HTML6_11" hidden="1">1</definedName>
    <definedName name="HTML6_12" hidden="1">"C:\My Documents\Web Page\VI0100B bottom"</definedName>
    <definedName name="HTML6_2" hidden="1">1</definedName>
    <definedName name="HTML6_3" hidden="1">"VI0100B"</definedName>
    <definedName name="HTML6_4" hidden="1">"VI0100B 971026"</definedName>
    <definedName name="HTML6_5" hidden="1">""</definedName>
    <definedName name="HTML6_6" hidden="1">-4146</definedName>
    <definedName name="HTML6_7" hidden="1">-4146</definedName>
    <definedName name="HTML6_8" hidden="1">"97-10-26"</definedName>
    <definedName name="HTML6_9" hidden="1">"Stephen Hinde"</definedName>
    <definedName name="HTML7_1" hidden="1">"'[VI0200A  Tour of Cowichan Valley.xls]Web sheet'!$A$1:$E$92"</definedName>
    <definedName name="HTML7_10" hidden="1">"randos@island.net"</definedName>
    <definedName name="HTML7_11" hidden="1">1</definedName>
    <definedName name="HTML7_12" hidden="1">"C:\My Documents\Web Page\200km_route_sheet.htm"</definedName>
    <definedName name="HTML7_2" hidden="1">1</definedName>
    <definedName name="HTML7_3" hidden="1">"VI0200A  Tour of Cowichan Valley"</definedName>
    <definedName name="HTML7_4" hidden="1">"Vancouver Island 200 km Brevet"</definedName>
    <definedName name="HTML7_5" hidden="1">""</definedName>
    <definedName name="HTML7_6" hidden="1">1</definedName>
    <definedName name="HTML7_7" hidden="1">1</definedName>
    <definedName name="HTML7_8" hidden="1">"97-11-23"</definedName>
    <definedName name="HTML7_9" hidden="1">"Stephen Hinde"</definedName>
    <definedName name="HTML8_1" hidden="1">"'[VI0300A  Duncan--Victoria.xls]Web sheet'!$A$1:$E$161"</definedName>
    <definedName name="HTML8_10" hidden="1">"randos@island.net"</definedName>
    <definedName name="HTML8_11" hidden="1">1</definedName>
    <definedName name="HTML8_12" hidden="1">"C:\My Documents\Web Page\300km_route_sheet_duncan.htm"</definedName>
    <definedName name="HTML8_2" hidden="1">1</definedName>
    <definedName name="HTML8_3" hidden="1">"VI0300A  Duncan--Victoria"</definedName>
    <definedName name="HTML8_4" hidden="1">"Web sheet"</definedName>
    <definedName name="HTML8_5" hidden="1">""</definedName>
    <definedName name="HTML8_6" hidden="1">1</definedName>
    <definedName name="HTML8_7" hidden="1">1</definedName>
    <definedName name="HTML8_8" hidden="1">"98-01-25"</definedName>
    <definedName name="HTML8_9" hidden="1">"Stephen Hinde"</definedName>
    <definedName name="HTMLCount" hidden="1">8</definedName>
    <definedName name="Initial" localSheetId="2">#REF!</definedName>
    <definedName name="Initial">#REF!</definedName>
    <definedName name="Locale">'Control Entry'!$E$10:$E$19</definedName>
    <definedName name="Max_time">'Control Entry'!$B$2</definedName>
    <definedName name="Open">'Control Entry'!$L$10:$L$19</definedName>
    <definedName name="Open_time">'Control Entry'!$N$10:$N$19</definedName>
    <definedName name="Postal_Code" localSheetId="2">#REF!</definedName>
    <definedName name="Postal_Code">#REF!</definedName>
    <definedName name="_xlnm.Print_Titles" localSheetId="2">'Control Card North Saanic Start'!$1:$2</definedName>
    <definedName name="_xlnm.Print_Titles" localSheetId="1">'Control Card Victoria Start'!$1:$2</definedName>
    <definedName name="Province_State" localSheetId="2">#REF!</definedName>
    <definedName name="Province_State">#REF!</definedName>
    <definedName name="Start_date">'Control Entry'!$B$7</definedName>
    <definedName name="Start_time">'Control Entry'!$B$8</definedName>
    <definedName name="surname" localSheetId="2">#REF!</definedName>
    <definedName name="surname">#REF!</definedName>
    <definedName name="Work_telephone" localSheetId="2">#REF!</definedName>
    <definedName name="Work_telephone">#REF!</definedName>
  </definedNames>
  <calcPr calcId="181029"/>
</workbook>
</file>

<file path=xl/calcChain.xml><?xml version="1.0" encoding="utf-8"?>
<calcChain xmlns="http://schemas.openxmlformats.org/spreadsheetml/2006/main">
  <c r="B12" i="1" l="1"/>
  <c r="B13" i="1"/>
  <c r="B14" i="1"/>
  <c r="B15" i="1"/>
  <c r="B16" i="1"/>
  <c r="B11" i="1"/>
  <c r="L13" i="1" l="1"/>
  <c r="M23" i="1" l="1"/>
  <c r="E8" i="3" l="1"/>
  <c r="E7" i="3"/>
  <c r="E5" i="3"/>
  <c r="S20" i="3" l="1"/>
  <c r="F5" i="2"/>
  <c r="F32" i="2"/>
  <c r="F31" i="2"/>
  <c r="F30" i="2"/>
  <c r="F29" i="2"/>
  <c r="F28" i="2"/>
  <c r="F27" i="2"/>
  <c r="F26" i="2"/>
  <c r="F25" i="2"/>
  <c r="F24" i="2"/>
  <c r="F23" i="2"/>
  <c r="F22" i="2"/>
  <c r="F21" i="2"/>
  <c r="F20" i="2"/>
  <c r="F19" i="2"/>
  <c r="F18" i="2"/>
  <c r="F17" i="2"/>
  <c r="F16" i="2"/>
  <c r="F15" i="2"/>
  <c r="F14" i="2"/>
  <c r="F13" i="2"/>
  <c r="F12" i="2"/>
  <c r="F11" i="2"/>
  <c r="F10" i="2"/>
  <c r="F9" i="2"/>
  <c r="F8" i="2"/>
  <c r="F7" i="2"/>
  <c r="F6" i="2"/>
  <c r="F4" i="2"/>
  <c r="F3" i="2"/>
  <c r="L10" i="1"/>
  <c r="N10" i="1" s="1"/>
  <c r="L32" i="1"/>
  <c r="L31" i="1"/>
  <c r="L30" i="1"/>
  <c r="L29" i="1"/>
  <c r="L28" i="1"/>
  <c r="L27" i="1"/>
  <c r="L26" i="1"/>
  <c r="L25" i="1"/>
  <c r="L24" i="1"/>
  <c r="L23" i="1"/>
  <c r="F32" i="3"/>
  <c r="F31" i="3"/>
  <c r="F30" i="3"/>
  <c r="F29" i="3"/>
  <c r="F28" i="3"/>
  <c r="F27" i="3"/>
  <c r="F26" i="3"/>
  <c r="F25" i="3"/>
  <c r="F24" i="3"/>
  <c r="F23" i="3"/>
  <c r="F22" i="3"/>
  <c r="F21" i="3"/>
  <c r="F20" i="3"/>
  <c r="F19" i="3"/>
  <c r="F18" i="3"/>
  <c r="F17" i="3"/>
  <c r="F16" i="3"/>
  <c r="F15" i="3"/>
  <c r="F14" i="3"/>
  <c r="F12" i="3"/>
  <c r="F11" i="3"/>
  <c r="F10" i="3"/>
  <c r="F9" i="3"/>
  <c r="F7" i="3"/>
  <c r="F8" i="3"/>
  <c r="F5" i="3"/>
  <c r="F6" i="3"/>
  <c r="F4" i="3"/>
  <c r="F3" i="3"/>
  <c r="E32" i="3"/>
  <c r="E31" i="3"/>
  <c r="E30" i="3"/>
  <c r="E29" i="3"/>
  <c r="E28" i="3"/>
  <c r="E27" i="3"/>
  <c r="E26" i="3"/>
  <c r="E25" i="3"/>
  <c r="E24" i="3"/>
  <c r="E23" i="3"/>
  <c r="E22" i="3"/>
  <c r="E21" i="3"/>
  <c r="E20" i="3"/>
  <c r="E19" i="3"/>
  <c r="E18" i="3"/>
  <c r="E17" i="3"/>
  <c r="E16" i="3"/>
  <c r="E15" i="3"/>
  <c r="E14" i="3"/>
  <c r="E13" i="3"/>
  <c r="E12" i="3"/>
  <c r="E11" i="3"/>
  <c r="E10" i="3"/>
  <c r="E9" i="3"/>
  <c r="E6" i="3"/>
  <c r="C1" i="1"/>
  <c r="E4" i="3"/>
  <c r="E3" i="3"/>
  <c r="D31" i="3"/>
  <c r="D28" i="3"/>
  <c r="D25" i="3"/>
  <c r="D22" i="3"/>
  <c r="D19" i="3"/>
  <c r="D16" i="3"/>
  <c r="D13" i="3"/>
  <c r="D10" i="3"/>
  <c r="D7" i="3"/>
  <c r="D4" i="3"/>
  <c r="A31" i="3"/>
  <c r="A28" i="3"/>
  <c r="A25" i="3"/>
  <c r="A22" i="3"/>
  <c r="A19" i="3"/>
  <c r="A16" i="3"/>
  <c r="A13" i="3"/>
  <c r="A10" i="3"/>
  <c r="A7" i="3"/>
  <c r="A4" i="3"/>
  <c r="L19" i="1"/>
  <c r="L18" i="1"/>
  <c r="L17" i="1"/>
  <c r="L16" i="1"/>
  <c r="L15" i="1"/>
  <c r="L14" i="1"/>
  <c r="L12" i="1"/>
  <c r="L11" i="1"/>
  <c r="L6" i="3"/>
  <c r="R5" i="3"/>
  <c r="P5" i="3"/>
  <c r="L6" i="2"/>
  <c r="S20" i="2"/>
  <c r="R5" i="2"/>
  <c r="P5" i="2"/>
  <c r="A7"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D25" i="2"/>
  <c r="D28" i="2"/>
  <c r="D31" i="2"/>
  <c r="A31" i="2"/>
  <c r="A4" i="2"/>
  <c r="D19" i="2"/>
  <c r="D16" i="2"/>
  <c r="D13" i="2"/>
  <c r="D10" i="2"/>
  <c r="D7" i="2"/>
  <c r="D4" i="2"/>
  <c r="D22" i="2"/>
  <c r="A28" i="2"/>
  <c r="A25" i="2"/>
  <c r="A22" i="2"/>
  <c r="A19" i="2"/>
  <c r="A10" i="2"/>
  <c r="A16" i="2"/>
  <c r="A13" i="2"/>
  <c r="M25" i="1" l="1"/>
  <c r="M13" i="1"/>
  <c r="M10" i="1"/>
  <c r="O10" i="1" s="1"/>
  <c r="C3" i="2" s="1"/>
  <c r="M12" i="1"/>
  <c r="M4" i="3"/>
  <c r="B2" i="1"/>
  <c r="M19" i="1" s="1"/>
  <c r="M16" i="1"/>
  <c r="O16" i="1" s="1"/>
  <c r="C23" i="2" s="1"/>
  <c r="M14" i="1"/>
  <c r="O14" i="1" s="1"/>
  <c r="N26" i="1"/>
  <c r="B14" i="3" s="1"/>
  <c r="B4" i="2"/>
  <c r="N13" i="1"/>
  <c r="B14" i="2" s="1"/>
  <c r="N23" i="1"/>
  <c r="B5" i="3" s="1"/>
  <c r="N29" i="1"/>
  <c r="B21" i="3" s="1"/>
  <c r="M32" i="1"/>
  <c r="M11" i="1"/>
  <c r="O11" i="1" s="1"/>
  <c r="O13" i="1"/>
  <c r="N17" i="1"/>
  <c r="B25" i="2" s="1"/>
  <c r="M29" i="1"/>
  <c r="B3" i="2"/>
  <c r="M15" i="1"/>
  <c r="O15" i="1" s="1"/>
  <c r="M17" i="1"/>
  <c r="O17" i="1" s="1"/>
  <c r="M28" i="1"/>
  <c r="O28" i="1" s="1"/>
  <c r="C19" i="3" s="1"/>
  <c r="B5" i="2"/>
  <c r="N12" i="1"/>
  <c r="B11" i="2" s="1"/>
  <c r="N16" i="1"/>
  <c r="B22" i="2" s="1"/>
  <c r="N19" i="1"/>
  <c r="B31" i="2" s="1"/>
  <c r="N30" i="1"/>
  <c r="B26" i="3" s="1"/>
  <c r="O32" i="1"/>
  <c r="C31" i="3" s="1"/>
  <c r="N32" i="1"/>
  <c r="B32" i="3" s="1"/>
  <c r="O19" i="1"/>
  <c r="C31" i="2" s="1"/>
  <c r="N11" i="1"/>
  <c r="B6" i="2" s="1"/>
  <c r="O12" i="1"/>
  <c r="N15" i="1"/>
  <c r="B19" i="2" s="1"/>
  <c r="N24" i="1"/>
  <c r="B6" i="3" s="1"/>
  <c r="N27" i="1"/>
  <c r="B16" i="3" s="1"/>
  <c r="O29" i="1"/>
  <c r="C23" i="3" s="1"/>
  <c r="N14" i="1"/>
  <c r="B17" i="2" s="1"/>
  <c r="N18" i="1"/>
  <c r="B27" i="2" s="1"/>
  <c r="N25" i="1"/>
  <c r="B11" i="3" s="1"/>
  <c r="N28" i="1"/>
  <c r="B19" i="3" s="1"/>
  <c r="N31" i="1"/>
  <c r="B29" i="3" s="1"/>
  <c r="O25" i="1"/>
  <c r="M24" i="1"/>
  <c r="O24" i="1" s="1"/>
  <c r="M4" i="2"/>
  <c r="M31" i="1"/>
  <c r="O31" i="1" s="1"/>
  <c r="M27" i="1"/>
  <c r="O27" i="1" s="1"/>
  <c r="O23" i="1"/>
  <c r="M30" i="1"/>
  <c r="O30" i="1" s="1"/>
  <c r="M26" i="1"/>
  <c r="O26" i="1" s="1"/>
  <c r="C4" i="2" l="1"/>
  <c r="B13" i="3"/>
  <c r="B12" i="3"/>
  <c r="B3" i="3"/>
  <c r="C30" i="3"/>
  <c r="B25" i="3"/>
  <c r="B12" i="2"/>
  <c r="C5" i="2"/>
  <c r="B21" i="2"/>
  <c r="B26" i="2"/>
  <c r="C26" i="2"/>
  <c r="C25" i="2"/>
  <c r="C17" i="2"/>
  <c r="C15" i="2"/>
  <c r="C16" i="2"/>
  <c r="M18" i="1"/>
  <c r="O18" i="1" s="1"/>
  <c r="C27" i="2" s="1"/>
  <c r="B8" i="2"/>
  <c r="B13" i="2"/>
  <c r="B22" i="3"/>
  <c r="B30" i="3"/>
  <c r="B27" i="3"/>
  <c r="B8" i="3"/>
  <c r="B18" i="3"/>
  <c r="B29" i="2"/>
  <c r="B15" i="2"/>
  <c r="B31" i="3"/>
  <c r="B18" i="2"/>
  <c r="B10" i="3"/>
  <c r="B32" i="2"/>
  <c r="C24" i="2"/>
  <c r="C30" i="2"/>
  <c r="B20" i="2"/>
  <c r="C22" i="3"/>
  <c r="B24" i="3"/>
  <c r="B28" i="3"/>
  <c r="B7" i="3"/>
  <c r="B4" i="3"/>
  <c r="B16" i="2"/>
  <c r="B7" i="2"/>
  <c r="C19" i="2"/>
  <c r="C18" i="2"/>
  <c r="C20" i="2"/>
  <c r="C13" i="2"/>
  <c r="C12" i="2"/>
  <c r="C14" i="2"/>
  <c r="B23" i="3"/>
  <c r="B9" i="2"/>
  <c r="B30" i="2"/>
  <c r="C32" i="2"/>
  <c r="B10" i="2"/>
  <c r="B9" i="3"/>
  <c r="B24" i="2"/>
  <c r="C21" i="3"/>
  <c r="C18" i="3"/>
  <c r="B20" i="3"/>
  <c r="C9" i="2"/>
  <c r="C10" i="2"/>
  <c r="B28" i="2"/>
  <c r="B23" i="2"/>
  <c r="B17" i="3"/>
  <c r="C8" i="2"/>
  <c r="C7" i="2"/>
  <c r="C22" i="2"/>
  <c r="C21" i="2"/>
  <c r="C11" i="2"/>
  <c r="C20" i="3"/>
  <c r="B15" i="3"/>
  <c r="C32" i="3"/>
  <c r="C6" i="2"/>
  <c r="C6" i="3"/>
  <c r="C7" i="3"/>
  <c r="C8" i="3"/>
  <c r="C11" i="3"/>
  <c r="C9" i="3"/>
  <c r="C10" i="3"/>
  <c r="C13" i="3"/>
  <c r="C14" i="3"/>
  <c r="C12" i="3"/>
  <c r="C4" i="3"/>
  <c r="C5" i="3"/>
  <c r="C3" i="3"/>
  <c r="C25" i="3"/>
  <c r="C26" i="3"/>
  <c r="C24" i="3"/>
  <c r="C15" i="3"/>
  <c r="C16" i="3"/>
  <c r="C17" i="3"/>
  <c r="C27" i="3"/>
  <c r="C28" i="3"/>
  <c r="C29" i="3"/>
  <c r="C28" i="2" l="1"/>
  <c r="C2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Hinde</author>
    <author>A satisfied Microsoft Office user</author>
  </authors>
  <commentList>
    <comment ref="B1" authorId="0" shapeId="0" xr:uid="{00000000-0006-0000-0000-000001000000}">
      <text>
        <r>
          <rPr>
            <b/>
            <sz val="10"/>
            <color rgb="FF000000"/>
            <rFont val="Tahoma"/>
            <family val="2"/>
          </rPr>
          <t>Stephen Hinde:</t>
        </r>
        <r>
          <rPr>
            <sz val="10"/>
            <color rgb="FF000000"/>
            <rFont val="Tahoma"/>
            <family val="2"/>
          </rPr>
          <t xml:space="preserve">
</t>
        </r>
        <r>
          <rPr>
            <sz val="10"/>
            <color rgb="FF000000"/>
            <rFont val="Tahoma"/>
            <family val="2"/>
          </rPr>
          <t xml:space="preserve">Nominal ACP distance
</t>
        </r>
        <r>
          <rPr>
            <sz val="10"/>
            <color rgb="FF000000"/>
            <rFont val="Tahoma"/>
            <family val="2"/>
          </rPr>
          <t xml:space="preserve">
</t>
        </r>
        <r>
          <rPr>
            <sz val="10"/>
            <color rgb="FF000000"/>
            <rFont val="Tahoma"/>
            <family val="2"/>
          </rPr>
          <t>eg 200, 300, 400, 600</t>
        </r>
      </text>
    </comment>
    <comment ref="B2" authorId="1" shapeId="0" xr:uid="{00000000-0006-0000-0000-000002000000}">
      <text>
        <r>
          <rPr>
            <sz val="8"/>
            <color rgb="FF000000"/>
            <rFont val="Tahoma"/>
            <family val="2"/>
          </rPr>
          <t>Partial result of closing time calculation to avoid limitation of only 7 nested functions</t>
        </r>
      </text>
    </comment>
    <comment ref="B4" authorId="0" shapeId="0" xr:uid="{00000000-0006-0000-0000-000003000000}">
      <text>
        <r>
          <rPr>
            <b/>
            <sz val="10"/>
            <color rgb="FF000000"/>
            <rFont val="Tahoma"/>
            <family val="2"/>
          </rPr>
          <t>Stephen Hinde:</t>
        </r>
        <r>
          <rPr>
            <sz val="10"/>
            <color rgb="FF000000"/>
            <rFont val="Tahoma"/>
            <family val="2"/>
          </rPr>
          <t xml:space="preserve">
</t>
        </r>
        <r>
          <rPr>
            <sz val="10"/>
            <color rgb="FF000000"/>
            <rFont val="Tahoma"/>
            <family val="2"/>
          </rPr>
          <t>On event page</t>
        </r>
      </text>
    </comment>
    <comment ref="B5" authorId="0" shapeId="0" xr:uid="{00000000-0006-0000-0000-000004000000}">
      <text>
        <r>
          <rPr>
            <b/>
            <sz val="10"/>
            <color rgb="FF000000"/>
            <rFont val="Tahoma"/>
            <family val="2"/>
          </rPr>
          <t>Stephen Hinde:</t>
        </r>
        <r>
          <rPr>
            <sz val="10"/>
            <color rgb="FF000000"/>
            <rFont val="Tahoma"/>
            <family val="2"/>
          </rPr>
          <t xml:space="preserve">
</t>
        </r>
        <r>
          <rPr>
            <sz val="10"/>
            <color rgb="FF000000"/>
            <rFont val="Tahoma"/>
            <family val="2"/>
          </rPr>
          <t>Official ACP date</t>
        </r>
      </text>
    </comment>
    <comment ref="B7" authorId="0" shapeId="0" xr:uid="{00000000-0006-0000-0000-000005000000}">
      <text>
        <r>
          <rPr>
            <b/>
            <sz val="10"/>
            <color rgb="FF000000"/>
            <rFont val="Tahoma"/>
            <family val="2"/>
          </rPr>
          <t>Stephen Hinde:</t>
        </r>
        <r>
          <rPr>
            <sz val="10"/>
            <color rgb="FF000000"/>
            <rFont val="Tahoma"/>
            <family val="2"/>
          </rPr>
          <t xml:space="preserve">
</t>
        </r>
        <r>
          <rPr>
            <sz val="10"/>
            <color rgb="FF000000"/>
            <rFont val="Tahoma"/>
            <family val="2"/>
          </rPr>
          <t xml:space="preserve">Actual date
</t>
        </r>
        <r>
          <rPr>
            <sz val="10"/>
            <color rgb="FF000000"/>
            <rFont val="Tahoma"/>
            <family val="2"/>
          </rPr>
          <t xml:space="preserve">
</t>
        </r>
        <r>
          <rPr>
            <sz val="10"/>
            <color rgb="FF000000"/>
            <rFont val="Tahoma"/>
            <family val="2"/>
          </rPr>
          <t>Recommend using Schedule date</t>
        </r>
      </text>
    </comment>
  </commentList>
</comments>
</file>

<file path=xl/sharedStrings.xml><?xml version="1.0" encoding="utf-8"?>
<sst xmlns="http://schemas.openxmlformats.org/spreadsheetml/2006/main" count="271" uniqueCount="120">
  <si>
    <t>Start time</t>
  </si>
  <si>
    <t>Finish time</t>
  </si>
  <si>
    <t>Elapsed time</t>
  </si>
  <si>
    <t>Open</t>
  </si>
  <si>
    <t>Close</t>
  </si>
  <si>
    <t>Open time</t>
  </si>
  <si>
    <t>Close time</t>
  </si>
  <si>
    <t>Control 1</t>
  </si>
  <si>
    <t>Control 2</t>
  </si>
  <si>
    <t>Control 3</t>
  </si>
  <si>
    <t>Control 4</t>
  </si>
  <si>
    <t>Control 5</t>
  </si>
  <si>
    <t>Control 6</t>
  </si>
  <si>
    <t>Control 7</t>
  </si>
  <si>
    <t>Control 8</t>
  </si>
  <si>
    <t>Control 9</t>
  </si>
  <si>
    <t>Control 10</t>
  </si>
  <si>
    <t>Rider's signature at completion</t>
  </si>
  <si>
    <t>Brevet Length:</t>
  </si>
  <si>
    <t>Maximum Time:</t>
  </si>
  <si>
    <t>Brevet Description:</t>
  </si>
  <si>
    <t>Brevet Number:</t>
  </si>
  <si>
    <t>Start Date:</t>
  </si>
  <si>
    <t>Start Time:</t>
  </si>
  <si>
    <t>Distance</t>
  </si>
  <si>
    <t>Locale</t>
  </si>
  <si>
    <t>Establishment 1</t>
  </si>
  <si>
    <t>Establishment 2</t>
  </si>
  <si>
    <t>Establishment 3</t>
  </si>
  <si>
    <t>|</t>
  </si>
  <si>
    <t>DIST (km)</t>
  </si>
  <si>
    <t>Establishment</t>
  </si>
  <si>
    <t>Time of Passage</t>
  </si>
  <si>
    <t>Control Card</t>
  </si>
  <si>
    <t>Name</t>
  </si>
  <si>
    <t>Address</t>
  </si>
  <si>
    <t>City</t>
  </si>
  <si>
    <t>Province/State</t>
  </si>
  <si>
    <t>Country</t>
  </si>
  <si>
    <t>Postal Code</t>
  </si>
  <si>
    <t>Telephone</t>
  </si>
  <si>
    <t>email</t>
  </si>
  <si>
    <t>Randonneur Committee Authorization</t>
  </si>
  <si>
    <t>Report results or abandonment through registration email link</t>
  </si>
  <si>
    <r>
      <t xml:space="preserve">Please </t>
    </r>
    <r>
      <rPr>
        <b/>
        <i/>
        <sz val="16"/>
        <rFont val="Arial"/>
        <family val="2"/>
      </rPr>
      <t>answer questions</t>
    </r>
    <r>
      <rPr>
        <i/>
        <sz val="16"/>
        <rFont val="Arial"/>
        <family val="2"/>
      </rPr>
      <t xml:space="preserve"> and</t>
    </r>
    <r>
      <rPr>
        <b/>
        <i/>
        <sz val="16"/>
        <rFont val="Arial"/>
        <family val="2"/>
      </rPr>
      <t xml:space="preserve"> note time of day</t>
    </r>
  </si>
  <si>
    <t>Start Date</t>
  </si>
  <si>
    <t>Finish Date</t>
  </si>
  <si>
    <t>Member #</t>
  </si>
  <si>
    <t xml:space="preserve">Brevet No. </t>
  </si>
  <si>
    <t>Schedule date:</t>
  </si>
  <si>
    <t>Single</t>
  </si>
  <si>
    <t>Tandem</t>
  </si>
  <si>
    <t>Fixed</t>
  </si>
  <si>
    <t>Recumbent</t>
  </si>
  <si>
    <t>Velomobile</t>
  </si>
  <si>
    <t>(only add if change needed to database)</t>
  </si>
  <si>
    <t>Founding member of LES RANDONNEURS MONDIAUX (1983)</t>
  </si>
  <si>
    <t>Bicycle Type
Circle one</t>
  </si>
  <si>
    <t>-------&gt;</t>
  </si>
  <si>
    <t>Ride Day Emergency Contact</t>
  </si>
  <si>
    <t>Signature/Answer</t>
  </si>
  <si>
    <t>Signature/Answer 1</t>
  </si>
  <si>
    <t>Signature/Answer 2</t>
  </si>
  <si>
    <t>Signature/Answer 3</t>
  </si>
  <si>
    <t>Instructions</t>
  </si>
  <si>
    <t>Fill nominal brevet length.  This is the ACP distance eg 200, 300, 1000</t>
  </si>
  <si>
    <t>Maximum allowable time automatically calculated</t>
  </si>
  <si>
    <t>Enter the brevet name eg 'Remembrance Day Brevet'</t>
  </si>
  <si>
    <t>Enter the brevet number.  This is the BCR database number, and can be found on the event page in the database</t>
  </si>
  <si>
    <t>Enter the schedule date.  This is the official ACP listed date and can be found on the shcedule on the website</t>
  </si>
  <si>
    <t>Enter the start date.  This will always be the same as the schedule date, unless a ride window has been enabled.</t>
  </si>
  <si>
    <t>Enter the start time.  This will always be the official ACP listed start time found on the event page, unless a ride window has been enabled.</t>
  </si>
  <si>
    <t>Fill in the control distance.  The opening and closing times will be automatically calculated based on the start time and the brevet distance.  If you need more than 10 controls, use card #2, otherwise leave that section blank.</t>
  </si>
  <si>
    <t>Fill in the Locale (city) for each control.  Establishment 1, 2, and 3 can be used to describe the control itself eg Locale Hope  Est.1 Dairy Queen Est.2 817 Water Ave Est. 3 (leaft blank)</t>
  </si>
  <si>
    <t>When using information controls, you can put your question in the Signature/Answer section eg Sig/Ans.1 Sign on main door  Sig/Ans. 2  This week's special is?  Sig/Ans. 3 ________________</t>
  </si>
  <si>
    <t>Control Card #1 Information Control Question (optional)</t>
  </si>
  <si>
    <t>Note:  Control Card #1 will only show '#1' if a distance is entered into the first distance box for Control Card #2</t>
  </si>
  <si>
    <t>Control Card #2 Information Control Question (optional)</t>
  </si>
  <si>
    <t xml:space="preserve">Control Card </t>
  </si>
  <si>
    <t>Control Card Main Start</t>
  </si>
  <si>
    <t>Control Card Alternate Start</t>
  </si>
  <si>
    <t>CWAC1 to Fallen Leaves</t>
  </si>
  <si>
    <t>VICTORIA</t>
  </si>
  <si>
    <t>BC Indians War Memorial</t>
  </si>
  <si>
    <t>Beacon Hill Park</t>
  </si>
  <si>
    <t>NORTH SAANICH</t>
  </si>
  <si>
    <t>Blue Heron Park</t>
  </si>
  <si>
    <t>Plaque on main entry sign</t>
  </si>
  <si>
    <t>COLWOOD</t>
  </si>
  <si>
    <t>Hatley Memorial Park</t>
  </si>
  <si>
    <t>Garden of Gesthemane</t>
  </si>
  <si>
    <t>Grave:  Lt. Col. Joan Kennedy</t>
  </si>
  <si>
    <t>to right of access road</t>
  </si>
  <si>
    <t>SIDNEY</t>
  </si>
  <si>
    <t>Beagle Pub</t>
  </si>
  <si>
    <t>301 Cook St</t>
  </si>
  <si>
    <t>BC Aviation Museum</t>
  </si>
  <si>
    <t>1910 Norseman Rd</t>
  </si>
  <si>
    <t>Hut 'A'</t>
  </si>
  <si>
    <t>Alexander Rd</t>
  </si>
  <si>
    <t>UVIC</t>
  </si>
  <si>
    <t>814 Wharf St</t>
  </si>
  <si>
    <t>Self Sign</t>
  </si>
  <si>
    <t>Plaque on left pillar main  sign</t>
  </si>
  <si>
    <t>From Armitage bench, 8 metres to right  at 90deg to road</t>
  </si>
  <si>
    <t>Last line on plaque?</t>
  </si>
  <si>
    <t>Memorial: The Homecoming</t>
  </si>
  <si>
    <t>Water side granite marker</t>
  </si>
  <si>
    <t>"…and the _______?_______conflict."</t>
  </si>
  <si>
    <t>"Service to ________?"</t>
  </si>
  <si>
    <t>"Service to _________?"</t>
  </si>
  <si>
    <t>Victoria Airport</t>
  </si>
  <si>
    <t>Marker to right of bikeway</t>
  </si>
  <si>
    <t>"BC Indian ___?___ and Welfare Society"</t>
  </si>
  <si>
    <t>Door is on which side?</t>
  </si>
  <si>
    <t>LEFT                              RIGHT</t>
  </si>
  <si>
    <t>What is colour of doors?</t>
  </si>
  <si>
    <t>4th parking stall to right of gate</t>
  </si>
  <si>
    <t>What covers back of memorial?</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</si>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</sst>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 hh:mm\ AM/PM"/>
    <numFmt numFmtId="165" formatCode="d/mmm/yy"/>
    <numFmt numFmtId="166" formatCode="dddd"/>
    <numFmt numFmtId="167" formatCode="0.0"/>
    <numFmt numFmtId="168" formatCode="mmmm\ d\,\ yyyy"/>
    <numFmt numFmtId="169" formatCode="[&lt;=9999999]###\-####;\(###\)\ ###\-####"/>
  </numFmts>
  <fonts count="32" x14ac:knownFonts="1">
    <font>
      <sz val="10"/>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2"/>
      <name val="Arial"/>
      <family val="2"/>
    </font>
    <font>
      <sz val="14"/>
      <name val="Arial"/>
      <family val="2"/>
    </font>
    <font>
      <sz val="20"/>
      <name val="Arial"/>
      <family val="2"/>
    </font>
    <font>
      <sz val="36"/>
      <name val="Arial"/>
      <family val="2"/>
    </font>
    <font>
      <sz val="16"/>
      <name val="Arial"/>
      <family val="2"/>
    </font>
    <font>
      <i/>
      <sz val="14"/>
      <name val="Arial"/>
      <family val="2"/>
    </font>
    <font>
      <sz val="18"/>
      <name val="Arial"/>
      <family val="2"/>
    </font>
    <font>
      <sz val="14"/>
      <name val="Arial Narrow"/>
      <family val="2"/>
    </font>
    <font>
      <b/>
      <sz val="14"/>
      <name val="Arial Narrow"/>
      <family val="2"/>
    </font>
    <font>
      <b/>
      <sz val="16"/>
      <name val="Arial Narrow"/>
      <family val="2"/>
    </font>
    <font>
      <sz val="8"/>
      <name val="Arial"/>
      <family val="2"/>
    </font>
    <font>
      <u/>
      <sz val="10"/>
      <color theme="10"/>
      <name val="Arial"/>
      <family val="2"/>
    </font>
    <font>
      <u/>
      <sz val="10"/>
      <color theme="11"/>
      <name val="Arial"/>
      <family val="2"/>
    </font>
    <font>
      <b/>
      <sz val="16"/>
      <name val="Arial"/>
      <family val="2"/>
    </font>
    <font>
      <sz val="8"/>
      <color rgb="FF000000"/>
      <name val="Tahoma"/>
      <family val="2"/>
    </font>
    <font>
      <i/>
      <sz val="16"/>
      <name val="Arial"/>
      <family val="2"/>
    </font>
    <font>
      <b/>
      <i/>
      <sz val="16"/>
      <name val="Arial"/>
      <family val="2"/>
    </font>
    <font>
      <sz val="16"/>
      <name val="Arial Narrow"/>
      <family val="2"/>
    </font>
    <font>
      <sz val="20"/>
      <color theme="0" tint="-0.14999847407452621"/>
      <name val="Impact"/>
      <family val="2"/>
    </font>
    <font>
      <sz val="11"/>
      <color theme="1"/>
      <name val="Calibri"/>
      <family val="2"/>
      <scheme val="minor"/>
    </font>
    <font>
      <sz val="10"/>
      <color rgb="FF000000"/>
      <name val="Tahoma"/>
      <family val="2"/>
    </font>
    <font>
      <b/>
      <sz val="10"/>
      <color rgb="FF000000"/>
      <name val="Tahoma"/>
      <family val="2"/>
    </font>
    <font>
      <sz val="10"/>
      <name val="Arial Narrow"/>
      <family val="2"/>
    </font>
    <font>
      <sz val="10"/>
      <color rgb="FFFF0000"/>
      <name val="Arial"/>
      <family val="2"/>
    </font>
    <font>
      <sz val="12"/>
      <name val="Arial Narrow"/>
      <family val="2"/>
    </font>
    <font>
      <b/>
      <sz val="12"/>
      <name val="Arial Narrow"/>
      <family val="2"/>
    </font>
  </fonts>
  <fills count="3">
    <fill>
      <patternFill patternType="none"/>
    </fill>
    <fill>
      <patternFill patternType="gray125"/>
    </fill>
    <fill>
      <patternFill patternType="solid">
        <fgColor indexed="22"/>
        <bgColor indexed="64"/>
      </patternFill>
    </fill>
  </fills>
  <borders count="28">
    <border>
      <left/>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s>
  <cellStyleXfs count="356">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5" fillId="0" borderId="0"/>
    <xf numFmtId="0" fontId="4" fillId="0" borderId="0"/>
    <xf numFmtId="0" fontId="5" fillId="0" borderId="0"/>
    <xf numFmtId="0" fontId="3" fillId="0" borderId="0"/>
    <xf numFmtId="0" fontId="2" fillId="0" borderId="0"/>
    <xf numFmtId="0" fontId="1"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39">
    <xf numFmtId="0" fontId="0" fillId="0" borderId="0" xfId="0"/>
    <xf numFmtId="0" fontId="0" fillId="0" borderId="16" xfId="0" applyBorder="1"/>
    <xf numFmtId="0" fontId="0" fillId="0" borderId="0" xfId="0" applyAlignment="1">
      <alignment horizontal="right"/>
    </xf>
    <xf numFmtId="0" fontId="0" fillId="0" borderId="0" xfId="0" applyProtection="1">
      <protection hidden="1"/>
    </xf>
    <xf numFmtId="164" fontId="0" fillId="0" borderId="0" xfId="0" applyNumberFormat="1" applyBorder="1"/>
    <xf numFmtId="164" fontId="0" fillId="0" borderId="0" xfId="0" applyNumberFormat="1" applyBorder="1" applyAlignment="1">
      <alignment horizontal="center" vertical="center" wrapText="1"/>
    </xf>
    <xf numFmtId="0" fontId="0" fillId="2" borderId="11" xfId="0" applyFill="1" applyBorder="1"/>
    <xf numFmtId="0" fontId="0" fillId="2" borderId="12" xfId="0" applyFill="1" applyBorder="1"/>
    <xf numFmtId="0" fontId="0" fillId="2" borderId="10" xfId="0" applyFill="1" applyBorder="1"/>
    <xf numFmtId="0" fontId="7" fillId="2" borderId="15" xfId="0" applyFont="1" applyFill="1" applyBorder="1" applyAlignment="1">
      <alignment horizontal="center"/>
    </xf>
    <xf numFmtId="0" fontId="7" fillId="0" borderId="16" xfId="0" applyFont="1" applyBorder="1" applyAlignment="1">
      <alignment horizontal="center" wrapText="1"/>
    </xf>
    <xf numFmtId="0" fontId="7" fillId="0" borderId="7" xfId="0" applyFont="1" applyBorder="1"/>
    <xf numFmtId="0" fontId="0" fillId="2" borderId="7" xfId="0" applyFill="1" applyBorder="1" applyAlignment="1">
      <alignment horizontal="right"/>
    </xf>
    <xf numFmtId="0" fontId="0" fillId="2" borderId="1" xfId="0" applyFill="1" applyBorder="1" applyAlignment="1">
      <alignment horizontal="right"/>
    </xf>
    <xf numFmtId="0" fontId="0" fillId="2" borderId="3" xfId="0" applyFill="1" applyBorder="1" applyAlignment="1">
      <alignment horizontal="right"/>
    </xf>
    <xf numFmtId="0" fontId="0" fillId="2" borderId="4" xfId="0" applyFill="1" applyBorder="1"/>
    <xf numFmtId="0" fontId="0" fillId="0" borderId="0" xfId="0" applyAlignment="1">
      <alignment vertical="top" textRotation="90"/>
    </xf>
    <xf numFmtId="0" fontId="10" fillId="0" borderId="0" xfId="0" applyFont="1"/>
    <xf numFmtId="0" fontId="0" fillId="0" borderId="18" xfId="0" applyBorder="1"/>
    <xf numFmtId="0" fontId="0" fillId="0" borderId="19" xfId="0" applyBorder="1"/>
    <xf numFmtId="0" fontId="0" fillId="0" borderId="6" xfId="0" applyBorder="1"/>
    <xf numFmtId="0" fontId="10" fillId="0" borderId="18" xfId="0" applyFont="1" applyBorder="1" applyProtection="1">
      <protection locked="0"/>
    </xf>
    <xf numFmtId="0" fontId="0" fillId="0" borderId="18" xfId="0" applyBorder="1" applyProtection="1">
      <protection locked="0"/>
    </xf>
    <xf numFmtId="0" fontId="10" fillId="0" borderId="18" xfId="0" applyFont="1" applyBorder="1" applyProtection="1"/>
    <xf numFmtId="0" fontId="10" fillId="0" borderId="0" xfId="0" applyFont="1" applyProtection="1"/>
    <xf numFmtId="0" fontId="0" fillId="0" borderId="0" xfId="0" applyProtection="1"/>
    <xf numFmtId="0" fontId="0" fillId="0" borderId="18" xfId="0" applyBorder="1" applyProtection="1"/>
    <xf numFmtId="0" fontId="0" fillId="0" borderId="20" xfId="0" applyBorder="1" applyProtection="1"/>
    <xf numFmtId="0" fontId="0" fillId="0" borderId="21" xfId="0" applyBorder="1" applyProtection="1"/>
    <xf numFmtId="0" fontId="0" fillId="0" borderId="0" xfId="0" applyBorder="1" applyProtection="1"/>
    <xf numFmtId="0" fontId="0" fillId="0" borderId="17" xfId="0" applyBorder="1" applyProtection="1"/>
    <xf numFmtId="0" fontId="0" fillId="0" borderId="8" xfId="0" applyBorder="1" applyProtection="1"/>
    <xf numFmtId="0" fontId="0" fillId="0" borderId="0" xfId="0" applyBorder="1" applyAlignment="1" applyProtection="1">
      <alignment horizontal="centerContinuous"/>
      <protection hidden="1"/>
    </xf>
    <xf numFmtId="0" fontId="0" fillId="0" borderId="0" xfId="0" applyBorder="1" applyAlignment="1">
      <alignment horizontal="centerContinuous"/>
    </xf>
    <xf numFmtId="167" fontId="0" fillId="0" borderId="13" xfId="0" applyNumberFormat="1" applyBorder="1" applyProtection="1">
      <protection locked="0"/>
    </xf>
    <xf numFmtId="0" fontId="0" fillId="0" borderId="0" xfId="0" applyBorder="1" applyAlignment="1">
      <alignment horizontal="center"/>
    </xf>
    <xf numFmtId="0" fontId="0" fillId="0" borderId="0" xfId="0" applyBorder="1"/>
    <xf numFmtId="0" fontId="8" fillId="0" borderId="18" xfId="0" applyFont="1" applyBorder="1" applyProtection="1"/>
    <xf numFmtId="0" fontId="12" fillId="0" borderId="18" xfId="0" applyFont="1" applyBorder="1" applyProtection="1"/>
    <xf numFmtId="167" fontId="13" fillId="0" borderId="16" xfId="0" applyNumberFormat="1" applyFont="1" applyBorder="1" applyAlignment="1">
      <alignment horizontal="center" wrapText="1"/>
    </xf>
    <xf numFmtId="166" fontId="13" fillId="0" borderId="16" xfId="0" applyNumberFormat="1" applyFont="1" applyBorder="1" applyAlignment="1">
      <alignment horizontal="center" vertical="center" wrapText="1"/>
    </xf>
    <xf numFmtId="0" fontId="13" fillId="0" borderId="17" xfId="0" applyFont="1" applyBorder="1" applyAlignment="1">
      <alignment horizontal="center" vertical="center"/>
    </xf>
    <xf numFmtId="0" fontId="14" fillId="0" borderId="16" xfId="0" applyFont="1" applyBorder="1" applyAlignment="1">
      <alignment horizontal="center" vertical="center" wrapText="1"/>
    </xf>
    <xf numFmtId="167" fontId="13" fillId="0" borderId="7" xfId="0" applyNumberFormat="1" applyFont="1" applyBorder="1"/>
    <xf numFmtId="165" fontId="13" fillId="0" borderId="7" xfId="0" applyNumberFormat="1" applyFont="1" applyBorder="1" applyAlignment="1">
      <alignment horizontal="center" vertical="center" wrapText="1"/>
    </xf>
    <xf numFmtId="0" fontId="13" fillId="0" borderId="18" xfId="0" applyFont="1" applyBorder="1" applyAlignment="1">
      <alignment horizontal="center" vertical="center"/>
    </xf>
    <xf numFmtId="0" fontId="14" fillId="0" borderId="7" xfId="0" applyFont="1" applyBorder="1" applyAlignment="1">
      <alignment horizontal="center" vertical="center" wrapText="1"/>
    </xf>
    <xf numFmtId="0" fontId="13" fillId="0" borderId="16" xfId="0" applyFont="1" applyBorder="1" applyAlignment="1">
      <alignment horizontal="center" vertical="center"/>
    </xf>
    <xf numFmtId="167" fontId="15" fillId="0" borderId="16" xfId="0" applyNumberFormat="1" applyFont="1" applyBorder="1" applyAlignment="1">
      <alignment horizontal="center" vertical="center"/>
    </xf>
    <xf numFmtId="18" fontId="15"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167" fontId="12" fillId="0" borderId="0" xfId="0" applyNumberFormat="1" applyFont="1" applyAlignment="1">
      <alignment vertical="top"/>
    </xf>
    <xf numFmtId="0" fontId="9" fillId="0" borderId="0" xfId="0" applyFont="1" applyAlignment="1">
      <alignment horizontal="left" vertical="center"/>
    </xf>
    <xf numFmtId="0" fontId="10" fillId="0" borderId="0" xfId="0" applyFont="1" applyAlignment="1">
      <alignment horizontal="left" vertical="center" wrapText="1"/>
    </xf>
    <xf numFmtId="0" fontId="11" fillId="0" borderId="0" xfId="0" applyFont="1" applyAlignment="1">
      <alignment horizontal="center" vertical="justify"/>
    </xf>
    <xf numFmtId="0" fontId="10" fillId="0" borderId="0" xfId="0" applyFont="1" applyBorder="1" applyAlignment="1" applyProtection="1">
      <alignment horizontal="right"/>
    </xf>
    <xf numFmtId="0" fontId="0" fillId="2" borderId="25" xfId="0" applyFill="1" applyBorder="1" applyAlignment="1">
      <alignment horizontal="right"/>
    </xf>
    <xf numFmtId="0" fontId="10" fillId="0" borderId="5" xfId="0" applyFont="1" applyBorder="1" applyProtection="1"/>
    <xf numFmtId="0" fontId="10" fillId="0" borderId="0" xfId="0" applyFont="1" applyBorder="1" applyAlignment="1" applyProtection="1">
      <alignment horizontal="left"/>
    </xf>
    <xf numFmtId="0" fontId="10" fillId="0" borderId="0" xfId="0" applyFont="1" applyAlignment="1" applyProtection="1"/>
    <xf numFmtId="0" fontId="5" fillId="2" borderId="3" xfId="0" applyFont="1" applyFill="1" applyBorder="1" applyAlignment="1">
      <alignment horizontal="right"/>
    </xf>
    <xf numFmtId="168" fontId="10" fillId="0" borderId="0" xfId="0" applyNumberFormat="1" applyFont="1" applyBorder="1" applyAlignment="1">
      <alignment horizontal="center"/>
    </xf>
    <xf numFmtId="0" fontId="10" fillId="0" borderId="0" xfId="0" quotePrefix="1" applyFont="1" applyAlignment="1">
      <alignment horizontal="right" vertical="center"/>
    </xf>
    <xf numFmtId="0" fontId="10" fillId="0" borderId="0" xfId="0" applyFont="1" applyAlignment="1">
      <alignment vertical="center"/>
    </xf>
    <xf numFmtId="167" fontId="0" fillId="0" borderId="26" xfId="0" applyNumberFormat="1" applyBorder="1" applyProtection="1">
      <protection locked="0"/>
    </xf>
    <xf numFmtId="0" fontId="24" fillId="0" borderId="18" xfId="0" applyFont="1" applyBorder="1" applyProtection="1"/>
    <xf numFmtId="0" fontId="10" fillId="0" borderId="22" xfId="0" applyFont="1" applyBorder="1"/>
    <xf numFmtId="0" fontId="14" fillId="0" borderId="16" xfId="0" applyFont="1" applyBorder="1" applyAlignment="1">
      <alignment horizontal="center" vertical="top" wrapText="1"/>
    </xf>
    <xf numFmtId="0" fontId="6" fillId="0" borderId="0" xfId="0" applyFont="1" applyBorder="1" applyAlignment="1" applyProtection="1">
      <alignment wrapText="1"/>
    </xf>
    <xf numFmtId="0" fontId="10" fillId="0" borderId="0" xfId="0" applyFont="1" applyBorder="1"/>
    <xf numFmtId="0" fontId="10" fillId="0" borderId="0" xfId="0" applyFont="1" applyBorder="1" applyProtection="1"/>
    <xf numFmtId="168" fontId="10" fillId="0" borderId="0" xfId="0" applyNumberFormat="1" applyFont="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7" fillId="0" borderId="18" xfId="0" applyFont="1" applyFill="1" applyBorder="1" applyAlignment="1">
      <alignment horizontal="center" wrapText="1"/>
    </xf>
    <xf numFmtId="169" fontId="7" fillId="0" borderId="18" xfId="0" applyNumberFormat="1" applyFont="1" applyFill="1" applyBorder="1" applyAlignment="1">
      <alignment horizontal="left" wrapText="1"/>
    </xf>
    <xf numFmtId="168" fontId="10" fillId="0" borderId="18" xfId="0" applyNumberFormat="1" applyFont="1" applyBorder="1" applyAlignment="1">
      <alignment horizontal="center"/>
    </xf>
    <xf numFmtId="18" fontId="23" fillId="0" borderId="0" xfId="0" applyNumberFormat="1" applyFont="1" applyBorder="1" applyAlignment="1">
      <alignment horizontal="center" wrapText="1"/>
    </xf>
    <xf numFmtId="0" fontId="0" fillId="0" borderId="18" xfId="0" applyBorder="1" applyAlignment="1" applyProtection="1">
      <alignment horizontal="left"/>
    </xf>
    <xf numFmtId="169" fontId="12" fillId="0" borderId="18" xfId="0" applyNumberFormat="1" applyFont="1" applyBorder="1" applyAlignment="1" applyProtection="1">
      <alignment horizontal="center"/>
    </xf>
    <xf numFmtId="169" fontId="10" fillId="0" borderId="18" xfId="0" applyNumberFormat="1" applyFont="1" applyBorder="1" applyAlignment="1" applyProtection="1">
      <alignment horizontal="center"/>
    </xf>
    <xf numFmtId="0" fontId="10" fillId="0" borderId="0" xfId="0" applyNumberFormat="1" applyFont="1" applyBorder="1" applyAlignment="1" applyProtection="1">
      <alignment horizontal="left" vertical="center"/>
    </xf>
    <xf numFmtId="169" fontId="10" fillId="0" borderId="0" xfId="0" applyNumberFormat="1" applyFont="1" applyBorder="1" applyAlignment="1" applyProtection="1">
      <alignment horizontal="left" vertical="center"/>
    </xf>
    <xf numFmtId="0" fontId="9" fillId="0" borderId="0" xfId="0" applyFont="1" applyBorder="1" applyAlignment="1">
      <alignment horizontal="center" wrapText="1"/>
    </xf>
    <xf numFmtId="0" fontId="28" fillId="2" borderId="12" xfId="0" applyFont="1" applyFill="1" applyBorder="1"/>
    <xf numFmtId="0" fontId="28" fillId="2" borderId="10" xfId="0" applyFont="1" applyFill="1" applyBorder="1"/>
    <xf numFmtId="167" fontId="0" fillId="0" borderId="22" xfId="0" applyNumberFormat="1" applyBorder="1" applyProtection="1">
      <protection locked="0"/>
    </xf>
    <xf numFmtId="0" fontId="13" fillId="0" borderId="18" xfId="0" applyFont="1" applyBorder="1" applyProtection="1">
      <protection locked="0"/>
    </xf>
    <xf numFmtId="49" fontId="13" fillId="0" borderId="18" xfId="0" applyNumberFormat="1" applyFont="1" applyBorder="1" applyAlignment="1" applyProtection="1">
      <alignment horizontal="center"/>
      <protection locked="0"/>
    </xf>
    <xf numFmtId="49" fontId="13" fillId="0" borderId="8" xfId="0" applyNumberFormat="1" applyFont="1" applyBorder="1" applyAlignment="1" applyProtection="1">
      <alignment horizontal="center"/>
      <protection locked="0"/>
    </xf>
    <xf numFmtId="0" fontId="13" fillId="0" borderId="2" xfId="0" applyFont="1" applyBorder="1" applyProtection="1">
      <protection locked="0"/>
    </xf>
    <xf numFmtId="0" fontId="13" fillId="0" borderId="9" xfId="0" applyFont="1" applyBorder="1" applyAlignment="1"/>
    <xf numFmtId="0" fontId="13" fillId="0" borderId="5" xfId="0" applyFont="1" applyBorder="1" applyAlignment="1"/>
    <xf numFmtId="0" fontId="13" fillId="0" borderId="10" xfId="0" applyFont="1" applyBorder="1" applyAlignment="1"/>
    <xf numFmtId="1" fontId="13" fillId="0" borderId="4" xfId="0" applyNumberFormat="1" applyFont="1" applyBorder="1" applyProtection="1">
      <protection locked="0"/>
    </xf>
    <xf numFmtId="15" fontId="13" fillId="0" borderId="4" xfId="0" applyNumberFormat="1" applyFont="1" applyBorder="1" applyProtection="1">
      <protection locked="0"/>
    </xf>
    <xf numFmtId="15" fontId="13" fillId="0" borderId="23" xfId="0" applyNumberFormat="1" applyFont="1" applyBorder="1" applyProtection="1">
      <protection locked="0"/>
    </xf>
    <xf numFmtId="20" fontId="13" fillId="0" borderId="8" xfId="0" applyNumberFormat="1" applyFont="1" applyBorder="1" applyProtection="1">
      <protection locked="0"/>
    </xf>
    <xf numFmtId="0" fontId="29" fillId="0" borderId="0" xfId="0" applyFont="1"/>
    <xf numFmtId="0" fontId="0" fillId="0" borderId="0" xfId="0" applyFont="1"/>
    <xf numFmtId="0" fontId="7" fillId="2" borderId="15" xfId="0" applyFont="1" applyFill="1" applyBorder="1" applyAlignment="1">
      <alignment horizontal="center" vertical="center" wrapText="1"/>
    </xf>
    <xf numFmtId="0" fontId="5" fillId="0" borderId="14" xfId="0" applyFont="1" applyBorder="1" applyProtection="1">
      <protection locked="0"/>
    </xf>
    <xf numFmtId="49" fontId="5" fillId="0" borderId="14"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0" fontId="5" fillId="0" borderId="27" xfId="0" applyFont="1" applyBorder="1" applyProtection="1">
      <protection locked="0"/>
    </xf>
    <xf numFmtId="49" fontId="5" fillId="0" borderId="27" xfId="0" applyNumberFormat="1" applyFont="1" applyBorder="1" applyAlignment="1" applyProtection="1">
      <alignment horizontal="center"/>
      <protection locked="0"/>
    </xf>
    <xf numFmtId="49" fontId="5" fillId="0" borderId="24" xfId="0" applyNumberFormat="1" applyFont="1" applyBorder="1" applyAlignment="1" applyProtection="1">
      <alignment horizontal="center"/>
      <protection locked="0"/>
    </xf>
    <xf numFmtId="0" fontId="14" fillId="0" borderId="7" xfId="0" applyFont="1" applyBorder="1" applyAlignment="1">
      <alignment horizontal="center" wrapText="1"/>
    </xf>
    <xf numFmtId="49" fontId="30" fillId="0" borderId="14" xfId="0" applyNumberFormat="1" applyFont="1" applyBorder="1" applyAlignment="1" applyProtection="1">
      <alignment horizontal="center"/>
      <protection locked="0"/>
    </xf>
    <xf numFmtId="49" fontId="31" fillId="0" borderId="4" xfId="0" applyNumberFormat="1" applyFont="1" applyBorder="1" applyAlignment="1" applyProtection="1">
      <alignment horizontal="center"/>
      <protection locked="0"/>
    </xf>
    <xf numFmtId="49" fontId="30" fillId="0" borderId="4" xfId="0" applyNumberFormat="1" applyFont="1" applyBorder="1" applyAlignment="1" applyProtection="1">
      <alignment horizontal="center"/>
      <protection locked="0"/>
    </xf>
    <xf numFmtId="49" fontId="30" fillId="0" borderId="27" xfId="0" applyNumberFormat="1" applyFont="1" applyBorder="1" applyAlignment="1" applyProtection="1">
      <alignment horizontal="center"/>
      <protection locked="0"/>
    </xf>
    <xf numFmtId="49" fontId="30" fillId="0" borderId="24" xfId="0" applyNumberFormat="1" applyFont="1" applyBorder="1" applyAlignment="1" applyProtection="1">
      <alignment horizontal="center"/>
      <protection locked="0"/>
    </xf>
    <xf numFmtId="0" fontId="10" fillId="0" borderId="0" xfId="0" applyFont="1" applyAlignment="1">
      <alignment horizontal="center"/>
    </xf>
    <xf numFmtId="167" fontId="0" fillId="0" borderId="0" xfId="0" applyNumberFormat="1"/>
    <xf numFmtId="0" fontId="14" fillId="0" borderId="7" xfId="0" applyFont="1" applyBorder="1" applyAlignment="1">
      <alignment horizontal="center" vertical="top" wrapText="1"/>
    </xf>
    <xf numFmtId="0" fontId="14" fillId="0" borderId="16" xfId="0" applyFont="1" applyBorder="1" applyAlignment="1">
      <alignment horizontal="center" wrapText="1"/>
    </xf>
    <xf numFmtId="0" fontId="29" fillId="0" borderId="0" xfId="0" applyFont="1" applyAlignment="1">
      <alignment horizontal="right"/>
    </xf>
    <xf numFmtId="0" fontId="5" fillId="2" borderId="9" xfId="0" applyFont="1" applyFill="1" applyBorder="1" applyAlignment="1">
      <alignment horizontal="center"/>
    </xf>
    <xf numFmtId="0" fontId="0" fillId="2" borderId="5"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10" fillId="0" borderId="18" xfId="0" applyFont="1" applyBorder="1"/>
    <xf numFmtId="0" fontId="6" fillId="0" borderId="0" xfId="0" applyFont="1" applyBorder="1" applyAlignment="1" applyProtection="1">
      <alignment horizontal="center" wrapText="1"/>
    </xf>
    <xf numFmtId="0" fontId="10" fillId="0" borderId="0" xfId="0" applyFont="1" applyAlignment="1">
      <alignment horizontal="center" vertical="center"/>
    </xf>
    <xf numFmtId="0" fontId="10" fillId="0" borderId="0" xfId="0" applyFont="1" applyAlignment="1">
      <alignment horizontal="right" vertical="center"/>
    </xf>
    <xf numFmtId="0" fontId="6" fillId="0" borderId="0" xfId="0" applyFont="1" applyBorder="1" applyAlignment="1" applyProtection="1">
      <alignment horizontal="center" vertical="top" wrapText="1"/>
    </xf>
    <xf numFmtId="168" fontId="10" fillId="0" borderId="0" xfId="0" applyNumberFormat="1" applyFont="1" applyBorder="1" applyAlignment="1">
      <alignment horizontal="left" vertical="center"/>
    </xf>
    <xf numFmtId="0" fontId="0" fillId="0" borderId="0" xfId="0" applyAlignment="1">
      <alignment horizontal="left" vertical="top"/>
    </xf>
    <xf numFmtId="0" fontId="10" fillId="0" borderId="18" xfId="0" applyFont="1" applyBorder="1" applyAlignment="1" applyProtection="1">
      <alignment horizontal="left"/>
    </xf>
    <xf numFmtId="0" fontId="21" fillId="0" borderId="18" xfId="0" applyFont="1" applyBorder="1" applyAlignment="1">
      <alignment horizontal="center" vertical="center"/>
    </xf>
    <xf numFmtId="167" fontId="12" fillId="0" borderId="20" xfId="0" applyNumberFormat="1"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pplyProtection="1">
      <alignment horizontal="right" vertical="center"/>
    </xf>
    <xf numFmtId="0" fontId="6" fillId="0" borderId="20" xfId="0" applyFont="1" applyBorder="1" applyAlignment="1">
      <alignment horizontal="center" vertical="top"/>
    </xf>
    <xf numFmtId="0" fontId="9" fillId="0" borderId="0" xfId="0" applyFont="1" applyAlignment="1">
      <alignment horizontal="center"/>
    </xf>
    <xf numFmtId="18" fontId="23" fillId="0" borderId="18" xfId="0" applyNumberFormat="1" applyFont="1" applyBorder="1" applyAlignment="1">
      <alignment horizontal="center" wrapText="1"/>
    </xf>
    <xf numFmtId="0" fontId="19" fillId="0" borderId="0" xfId="0" applyFont="1" applyAlignment="1">
      <alignment horizontal="center" vertical="top"/>
    </xf>
    <xf numFmtId="0" fontId="19" fillId="0" borderId="0" xfId="0" applyFont="1" applyAlignment="1">
      <alignment horizontal="center"/>
    </xf>
  </cellXfs>
  <cellStyles count="35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Normal" xfId="0" builtinId="0"/>
    <cellStyle name="Normal 2" xfId="282" xr:uid="{00000000-0005-0000-0000-00005E010000}"/>
    <cellStyle name="Normal 3" xfId="283" xr:uid="{00000000-0005-0000-0000-00005F010000}"/>
    <cellStyle name="Normal 3 2" xfId="285" xr:uid="{00000000-0005-0000-0000-000060010000}"/>
    <cellStyle name="Normal 3 2 2" xfId="286" xr:uid="{00000000-0005-0000-0000-000061010000}"/>
    <cellStyle name="Normal 3 2 3" xfId="287" xr:uid="{00000000-0005-0000-0000-000062010000}"/>
    <cellStyle name="Normal 4" xfId="284" xr:uid="{00000000-0005-0000-0000-00006301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1113477" y="485206"/>
          <a:ext cx="1992923" cy="15666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1099800" y="465993"/>
          <a:ext cx="2006600" cy="1566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2"/>
  <sheetViews>
    <sheetView showGridLines="0" tabSelected="1" zoomScale="134" zoomScaleNormal="135" zoomScalePageLayoutView="135" workbookViewId="0">
      <selection activeCell="I15" sqref="I15:K15"/>
    </sheetView>
  </sheetViews>
  <sheetFormatPr baseColWidth="10" defaultColWidth="8.83203125" defaultRowHeight="13" x14ac:dyDescent="0.15"/>
  <cols>
    <col min="1" max="1" width="15.83203125" style="2" bestFit="1" customWidth="1"/>
    <col min="2" max="2" width="10.6640625" customWidth="1"/>
    <col min="3" max="3" width="0.1640625" style="3" hidden="1" customWidth="1"/>
    <col min="4" max="4" width="8.33203125" customWidth="1"/>
    <col min="5" max="5" width="17" bestFit="1" customWidth="1"/>
    <col min="6" max="6" width="18" bestFit="1" customWidth="1"/>
    <col min="7" max="7" width="22.1640625" bestFit="1" customWidth="1"/>
    <col min="8" max="8" width="25.1640625" bestFit="1" customWidth="1"/>
    <col min="9" max="11" width="31.1640625" customWidth="1"/>
    <col min="12" max="15" width="17.83203125" hidden="1" customWidth="1"/>
  </cols>
  <sheetData>
    <row r="1" spans="1:23" ht="18" x14ac:dyDescent="0.2">
      <c r="A1" s="13" t="s">
        <v>18</v>
      </c>
      <c r="B1" s="90">
        <v>200</v>
      </c>
      <c r="C1">
        <f>IF(Brevet_Length&gt;=1200,Brevet_Length,IF(Brevet_Length&gt;=1000,1000,IF(Brevet_Length&gt;=600,600,IF(Brevet_Length&gt;=400,400,IF(Brevet_Length&gt;=300,300,IF(Brevet_Length&gt;=200,200,100))))))</f>
        <v>200</v>
      </c>
      <c r="J1" s="117" t="s">
        <v>64</v>
      </c>
      <c r="K1" s="117"/>
      <c r="Q1" s="98" t="s">
        <v>65</v>
      </c>
      <c r="R1" s="98"/>
      <c r="S1" s="98"/>
      <c r="T1" s="98"/>
      <c r="U1" s="98"/>
      <c r="V1" s="98"/>
      <c r="W1" s="98"/>
    </row>
    <row r="2" spans="1:23" ht="14" thickBot="1" x14ac:dyDescent="0.2">
      <c r="A2" s="14" t="s">
        <v>19</v>
      </c>
      <c r="B2" s="15">
        <f>IF(brevet=1200,90,IF(brevet=1000,75,IF(brevet=600,40,IF(brevet=400,27,IF(brevet=300,20,IF(brevet=200,13.5,IF(brevet=100,7,0)))))))</f>
        <v>13.5</v>
      </c>
      <c r="Q2" t="s">
        <v>66</v>
      </c>
    </row>
    <row r="3" spans="1:23" ht="19" thickBot="1" x14ac:dyDescent="0.25">
      <c r="A3" s="14" t="s">
        <v>20</v>
      </c>
      <c r="B3" s="91" t="s">
        <v>81</v>
      </c>
      <c r="C3" s="92"/>
      <c r="D3" s="92"/>
      <c r="E3" s="92"/>
      <c r="F3" s="92"/>
      <c r="G3" s="92"/>
      <c r="H3" s="93"/>
      <c r="I3" s="35"/>
      <c r="J3" s="35"/>
      <c r="K3" s="35"/>
      <c r="O3" s="36"/>
      <c r="P3" s="36"/>
      <c r="Q3" s="98" t="s">
        <v>67</v>
      </c>
    </row>
    <row r="4" spans="1:23" ht="18" x14ac:dyDescent="0.2">
      <c r="A4" s="14" t="s">
        <v>21</v>
      </c>
      <c r="B4" s="94">
        <v>5120</v>
      </c>
      <c r="C4" s="32"/>
      <c r="F4" s="33"/>
      <c r="G4" s="33"/>
      <c r="H4" s="33"/>
      <c r="I4" s="33"/>
      <c r="J4" s="33"/>
      <c r="K4" s="33"/>
      <c r="Q4" s="98" t="s">
        <v>68</v>
      </c>
    </row>
    <row r="5" spans="1:23" ht="18" x14ac:dyDescent="0.2">
      <c r="A5" s="60" t="s">
        <v>49</v>
      </c>
      <c r="B5" s="95">
        <v>44511</v>
      </c>
      <c r="Q5" s="98" t="s">
        <v>69</v>
      </c>
    </row>
    <row r="6" spans="1:23" ht="6" customHeight="1" x14ac:dyDescent="0.15"/>
    <row r="7" spans="1:23" ht="19" thickBot="1" x14ac:dyDescent="0.25">
      <c r="A7" s="56" t="s">
        <v>22</v>
      </c>
      <c r="B7" s="96">
        <v>44511</v>
      </c>
      <c r="Q7" s="98" t="s">
        <v>70</v>
      </c>
    </row>
    <row r="8" spans="1:23" ht="19" thickBot="1" x14ac:dyDescent="0.25">
      <c r="A8" s="12" t="s">
        <v>23</v>
      </c>
      <c r="B8" s="97">
        <v>0.29166666666666669</v>
      </c>
      <c r="D8" s="118" t="s">
        <v>79</v>
      </c>
      <c r="E8" s="119"/>
      <c r="F8" s="119"/>
      <c r="G8" s="119"/>
      <c r="H8" s="119"/>
      <c r="I8" s="120" t="s">
        <v>75</v>
      </c>
      <c r="J8" s="119"/>
      <c r="K8" s="121"/>
      <c r="Q8" s="98" t="s">
        <v>71</v>
      </c>
    </row>
    <row r="9" spans="1:23" ht="14" thickBot="1" x14ac:dyDescent="0.2">
      <c r="D9" s="6" t="s">
        <v>24</v>
      </c>
      <c r="E9" s="7" t="s">
        <v>25</v>
      </c>
      <c r="F9" s="84" t="s">
        <v>26</v>
      </c>
      <c r="G9" s="84" t="s">
        <v>27</v>
      </c>
      <c r="H9" s="85" t="s">
        <v>28</v>
      </c>
      <c r="I9" s="7" t="s">
        <v>61</v>
      </c>
      <c r="J9" s="7" t="s">
        <v>62</v>
      </c>
      <c r="K9" s="8" t="s">
        <v>63</v>
      </c>
      <c r="L9" t="s">
        <v>3</v>
      </c>
      <c r="M9" t="s">
        <v>4</v>
      </c>
      <c r="N9" t="s">
        <v>5</v>
      </c>
      <c r="O9" t="s">
        <v>6</v>
      </c>
      <c r="Q9" s="98" t="s">
        <v>72</v>
      </c>
    </row>
    <row r="10" spans="1:23" ht="17" customHeight="1" x14ac:dyDescent="0.2">
      <c r="C10" s="3" t="s">
        <v>7</v>
      </c>
      <c r="D10" s="34">
        <v>0</v>
      </c>
      <c r="E10" s="101" t="s">
        <v>82</v>
      </c>
      <c r="F10" s="102" t="s">
        <v>83</v>
      </c>
      <c r="G10" s="102" t="s">
        <v>84</v>
      </c>
      <c r="H10" s="103"/>
      <c r="I10" s="108"/>
      <c r="J10" s="108"/>
      <c r="K10" s="110"/>
      <c r="L10" s="4">
        <f>Start_date+Start_time</f>
        <v>44511.291666666664</v>
      </c>
      <c r="M10" s="4">
        <f>L10+"1:00"</f>
        <v>44511.333333333328</v>
      </c>
      <c r="N10" s="5">
        <f>IF(ISBLANK(Distance),"",Open Control_1)</f>
        <v>44511.291666666664</v>
      </c>
      <c r="O10" s="5">
        <f>IF(ISBLANK(Distance),"",Close Control_1)</f>
        <v>44511.333333333328</v>
      </c>
      <c r="Q10" s="98" t="s">
        <v>73</v>
      </c>
    </row>
    <row r="11" spans="1:23" ht="17" customHeight="1" x14ac:dyDescent="0.2">
      <c r="B11" s="114">
        <f t="shared" ref="B11:B16" si="0">D11-D$11</f>
        <v>0</v>
      </c>
      <c r="C11" s="3" t="s">
        <v>8</v>
      </c>
      <c r="D11" s="34">
        <v>49.7</v>
      </c>
      <c r="E11" s="101" t="s">
        <v>85</v>
      </c>
      <c r="F11" s="102" t="s">
        <v>103</v>
      </c>
      <c r="G11" s="102" t="s">
        <v>92</v>
      </c>
      <c r="H11" s="102" t="s">
        <v>86</v>
      </c>
      <c r="I11" s="108"/>
      <c r="J11" s="108"/>
      <c r="K11" s="110" t="s">
        <v>108</v>
      </c>
      <c r="L11">
        <f>IF(ISBLANK(Distance),"",IF(Distance&gt;1000,(Distance-1000)/26+33.0847,(IF(Distance&gt;600,(Distance-600)/28+18.799,(IF(Distance&gt;400,(Distance-400)/30+12.1324,(IF(Distance&gt;200,(Distance-200)/32+5.8824,Distance/34))))))))</f>
        <v>1.4617647058823531</v>
      </c>
      <c r="M11">
        <f>IF(ISBLANK(Distance),"",IF(Distance&gt;=brevet,IF(brevet&gt;1200,(brevet-1200)*75/1000+90,Max_time),IF(Distance&gt;1200,(Distance-1200)*75/1000+90,IF(Distance&gt;1000,(Distance-1000)/(1000/75)+75,IF(Distance&gt;600,(Distance-600)/(400/35)+40,Distance/15)))))</f>
        <v>3.3133333333333335</v>
      </c>
      <c r="N11" s="5">
        <f>IF(ISBLANK(Distance),"",Open_time Control_1+(INT(Open)&amp;":"&amp;IF(ROUND(((Open-INT(Open))*60),0)&lt;10,0,"")&amp;ROUND(((Open-INT(Open))*60),0)))</f>
        <v>44511.352777777778</v>
      </c>
      <c r="O11" s="5">
        <f>IF(ISBLANK(Distance),"",Open_time Control_1+(INT(Close)&amp;":"&amp;IF(ROUND(((Close-INT(Close))*60),0)&lt;10,0,"")&amp;ROUND(((Close-INT(Close))*60),0)))</f>
        <v>44511.429861111108</v>
      </c>
      <c r="Q11" s="98" t="s">
        <v>74</v>
      </c>
    </row>
    <row r="12" spans="1:23" ht="17" customHeight="1" x14ac:dyDescent="0.2">
      <c r="B12" s="114">
        <f t="shared" si="0"/>
        <v>43.8</v>
      </c>
      <c r="C12" s="3" t="s">
        <v>9</v>
      </c>
      <c r="D12" s="34">
        <v>93.5</v>
      </c>
      <c r="E12" s="101" t="s">
        <v>88</v>
      </c>
      <c r="F12" s="103" t="s">
        <v>91</v>
      </c>
      <c r="G12" s="102" t="s">
        <v>90</v>
      </c>
      <c r="H12" s="102" t="s">
        <v>89</v>
      </c>
      <c r="I12" s="108" t="s">
        <v>104</v>
      </c>
      <c r="J12" s="108"/>
      <c r="K12" s="110" t="s">
        <v>105</v>
      </c>
      <c r="L12">
        <f>IF(ISBLANK(Distance),"",IF(Distance&gt;1000,(Distance-1000)/26+33.0847,(IF(Distance&gt;600,(Distance-600)/28+18.799,(IF(Distance&gt;400,(Distance-400)/30+12.1324,(IF(Distance&gt;200,(Distance-200)/32+5.8824,Distance/34))))))))</f>
        <v>2.75</v>
      </c>
      <c r="M12">
        <f t="shared" ref="M12:M19" si="1">IF(ISBLANK(Distance),"",IF(Distance&gt;=brevet,IF(brevet&gt;1200,(brevet-1200)*75/1000+90,Max_time),IF(Distance&gt;1200,(Distance-1200)*75/1000+90,IF(Distance&gt;1000,(Distance-1000)/(1000/75)+75,IF(Distance&gt;600,(Distance-600)/(400/35)+40,Distance/15)))))</f>
        <v>6.2333333333333334</v>
      </c>
      <c r="N12" s="5">
        <f>IF(ISBLANK(Distance),"",Open_time Control_1+(INT(Open)&amp;":"&amp;IF(ROUND(((Open-INT(Open))*60),0)&lt;10,0,"")&amp;ROUND(((Open-INT(Open))*60),0)))</f>
        <v>44511.40625</v>
      </c>
      <c r="O12" s="5">
        <f>IF(ISBLANK(Distance),"",Open_time Control_1+(INT(Close)&amp;":"&amp;IF(ROUND(((Close-INT(Close))*60),0)&lt;10,0,"")&amp;ROUND(((Close-INT(Close))*60),0)))</f>
        <v>44511.551388888889</v>
      </c>
    </row>
    <row r="13" spans="1:23" ht="17" customHeight="1" x14ac:dyDescent="0.2">
      <c r="B13" s="114">
        <f t="shared" si="0"/>
        <v>61.2</v>
      </c>
      <c r="C13" s="3" t="s">
        <v>10</v>
      </c>
      <c r="D13" s="34">
        <v>110.9</v>
      </c>
      <c r="E13" s="101" t="s">
        <v>82</v>
      </c>
      <c r="F13" s="102" t="s">
        <v>106</v>
      </c>
      <c r="G13" s="102" t="s">
        <v>101</v>
      </c>
      <c r="H13" s="103" t="s">
        <v>107</v>
      </c>
      <c r="I13" s="103"/>
      <c r="J13" s="108"/>
      <c r="K13" s="110" t="s">
        <v>110</v>
      </c>
      <c r="L13">
        <f t="shared" ref="L13:L19" si="2">IF(ISBLANK(Distance),"",IF(Distance&gt;1000,(Distance-1000)/26+33.0847,(IF(Distance&gt;600,(Distance-600)/28+18.799,(IF(Distance&gt;400,(Distance-400)/30+12.1324,(IF(Distance&gt;200,(Distance-200)/32+5.8824,Distance/34))))))))</f>
        <v>3.2617647058823529</v>
      </c>
      <c r="M13">
        <f t="shared" si="1"/>
        <v>7.3933333333333335</v>
      </c>
      <c r="N13" s="5">
        <f>IF(ISBLANK(Distance),"",Open_time Control_1+(INT(Open)&amp;":"&amp;IF(ROUND(((Open-INT(Open))*60),0)&lt;10,0,"")&amp;ROUND(((Open-INT(Open))*60),0)))</f>
        <v>44511.427777777775</v>
      </c>
      <c r="O13" s="5">
        <f>IF(ISBLANK(Distance),"",Open_time Control_1+(INT(Close)&amp;":"&amp;IF(ROUND(((Close-INT(Close))*60),0)&lt;10,0,"")&amp;ROUND(((Close-INT(Close))*60),0)))</f>
        <v>44511.6</v>
      </c>
    </row>
    <row r="14" spans="1:23" ht="17" customHeight="1" x14ac:dyDescent="0.2">
      <c r="B14" s="114">
        <f t="shared" si="0"/>
        <v>75.8</v>
      </c>
      <c r="C14" s="3" t="s">
        <v>11</v>
      </c>
      <c r="D14" s="34">
        <v>125.5</v>
      </c>
      <c r="E14" s="101" t="s">
        <v>82</v>
      </c>
      <c r="F14" s="102" t="s">
        <v>98</v>
      </c>
      <c r="G14" s="102" t="s">
        <v>99</v>
      </c>
      <c r="H14" s="103" t="s">
        <v>100</v>
      </c>
      <c r="I14" s="108" t="s">
        <v>114</v>
      </c>
      <c r="J14" s="108" t="s">
        <v>115</v>
      </c>
      <c r="K14" s="110"/>
      <c r="L14">
        <f t="shared" si="2"/>
        <v>3.6911764705882355</v>
      </c>
      <c r="M14">
        <f t="shared" si="1"/>
        <v>8.3666666666666671</v>
      </c>
      <c r="N14" s="5">
        <f>IF(ISBLANK(Distance),"",Open_time Control_1+(INT(Open)&amp;":"&amp;IF(ROUND(((Open-INT(Open))*60),0)&lt;10,0,"")&amp;ROUND(((Open-INT(Open))*60),0)))</f>
        <v>44511.445138888885</v>
      </c>
      <c r="O14" s="5">
        <f>IF(ISBLANK(Distance),"",Open_time Control_1+(INT(Close)&amp;":"&amp;IF(ROUND(((Close-INT(Close))*60),0)&lt;10,0,"")&amp;ROUND(((Close-INT(Close))*60),0)))</f>
        <v>44511.640277777777</v>
      </c>
      <c r="Q14" s="99" t="s">
        <v>76</v>
      </c>
    </row>
    <row r="15" spans="1:23" ht="17" customHeight="1" x14ac:dyDescent="0.2">
      <c r="B15" s="114">
        <f t="shared" si="0"/>
        <v>104.99999999999999</v>
      </c>
      <c r="C15" s="3" t="s">
        <v>12</v>
      </c>
      <c r="D15" s="34">
        <v>154.69999999999999</v>
      </c>
      <c r="E15" s="101" t="s">
        <v>85</v>
      </c>
      <c r="F15" s="102" t="s">
        <v>96</v>
      </c>
      <c r="G15" s="102" t="s">
        <v>97</v>
      </c>
      <c r="H15" s="103" t="s">
        <v>111</v>
      </c>
      <c r="I15" s="108" t="s">
        <v>117</v>
      </c>
      <c r="J15" s="108"/>
      <c r="K15" s="110" t="s">
        <v>118</v>
      </c>
      <c r="L15">
        <f t="shared" si="2"/>
        <v>4.55</v>
      </c>
      <c r="M15">
        <f t="shared" si="1"/>
        <v>10.313333333333333</v>
      </c>
      <c r="N15" s="5">
        <f>IF(ISBLANK(Distance),"",Open_time Control_1+(INT(Open)&amp;":"&amp;IF(ROUND(((Open-INT(Open))*60),0)&lt;10,0,"")&amp;ROUND(((Open-INT(Open))*60),0)))</f>
        <v>44511.481249999997</v>
      </c>
      <c r="O15" s="5">
        <f>IF(ISBLANK(Distance),"",Open_time Control_1+(INT(Close)&amp;":"&amp;IF(ROUND(((Close-INT(Close))*60),0)&lt;10,0,"")&amp;ROUND(((Close-INT(Close))*60),0)))</f>
        <v>44511.721527777772</v>
      </c>
    </row>
    <row r="16" spans="1:23" ht="17" customHeight="1" x14ac:dyDescent="0.2">
      <c r="B16" s="114">
        <f t="shared" si="0"/>
        <v>151.60000000000002</v>
      </c>
      <c r="C16" s="3" t="s">
        <v>13</v>
      </c>
      <c r="D16" s="34">
        <v>201.3</v>
      </c>
      <c r="E16" s="101" t="s">
        <v>82</v>
      </c>
      <c r="F16" s="102" t="s">
        <v>94</v>
      </c>
      <c r="G16" s="103" t="s">
        <v>95</v>
      </c>
      <c r="H16" s="103"/>
      <c r="I16" s="108"/>
      <c r="J16" s="108"/>
      <c r="K16" s="109"/>
      <c r="L16">
        <f t="shared" si="2"/>
        <v>5.923025</v>
      </c>
      <c r="M16">
        <f t="shared" si="1"/>
        <v>13.5</v>
      </c>
      <c r="N16" s="5">
        <f>IF(ISBLANK(Distance),"",Open_time Control_1+(INT(Open)&amp;":"&amp;IF(ROUND(((Open-INT(Open))*60),0)&lt;10,0,"")&amp;ROUND(((Open-INT(Open))*60),0)))</f>
        <v>44511.538194444445</v>
      </c>
      <c r="O16" s="5">
        <f>IF(ISBLANK(Distance),"",Open_time Control_1+(INT(Close)&amp;":"&amp;IF(ROUND(((Close-INT(Close))*60),0)&lt;10,0,"")&amp;ROUND(((Close-INT(Close))*60),0)))</f>
        <v>44511.854166666664</v>
      </c>
    </row>
    <row r="17" spans="2:15" ht="17" customHeight="1" x14ac:dyDescent="0.2">
      <c r="B17" s="114"/>
      <c r="C17" s="3" t="s">
        <v>14</v>
      </c>
      <c r="D17" s="34"/>
      <c r="E17" s="101"/>
      <c r="F17" s="102"/>
      <c r="G17" s="102"/>
      <c r="H17" s="103"/>
      <c r="I17" s="108"/>
      <c r="J17" s="108"/>
      <c r="K17" s="110"/>
      <c r="L17" t="str">
        <f t="shared" si="2"/>
        <v/>
      </c>
      <c r="M17" t="str">
        <f t="shared" si="1"/>
        <v/>
      </c>
      <c r="N17" s="5" t="str">
        <f>IF(ISBLANK(Distance),"",Open_time Control_1+(INT(Open)&amp;":"&amp;IF(ROUND(((Open-INT(Open))*60),0)&lt;10,0,"")&amp;ROUND(((Open-INT(Open))*60),0)))</f>
        <v/>
      </c>
      <c r="O17" s="5" t="str">
        <f>IF(ISBLANK(Distance),"",Open_time Control_1+(INT(Close)&amp;":"&amp;IF(ROUND(((Close-INT(Close))*60),0)&lt;10,0,"")&amp;ROUND(((Close-INT(Close))*60),0)))</f>
        <v/>
      </c>
    </row>
    <row r="18" spans="2:15" ht="17" customHeight="1" x14ac:dyDescent="0.2">
      <c r="B18" s="114"/>
      <c r="C18" s="3" t="s">
        <v>15</v>
      </c>
      <c r="D18" s="34"/>
      <c r="E18" s="101"/>
      <c r="F18" s="102"/>
      <c r="G18" s="102"/>
      <c r="H18" s="103"/>
      <c r="I18" s="108"/>
      <c r="J18" s="108"/>
      <c r="K18" s="110"/>
      <c r="L18" t="str">
        <f t="shared" si="2"/>
        <v/>
      </c>
      <c r="M18" t="str">
        <f t="shared" si="1"/>
        <v/>
      </c>
      <c r="N18" s="5" t="str">
        <f>IF(ISBLANK(Distance),"",Open_time Control_1+(INT(Open)&amp;":"&amp;IF(ROUND(((Open-INT(Open))*60),0)&lt;10,0,"")&amp;ROUND(((Open-INT(Open))*60),0)))</f>
        <v/>
      </c>
      <c r="O18" s="5" t="str">
        <f>IF(ISBLANK(Distance),"",Open_time Control_1+(INT(Close)&amp;":"&amp;IF(ROUND(((Close-INT(Close))*60),0)&lt;10,0,"")&amp;ROUND(((Close-INT(Close))*60),0)))</f>
        <v/>
      </c>
    </row>
    <row r="19" spans="2:15" ht="17" customHeight="1" thickBot="1" x14ac:dyDescent="0.25">
      <c r="B19" s="114"/>
      <c r="C19" s="3" t="s">
        <v>16</v>
      </c>
      <c r="D19" s="64"/>
      <c r="E19" s="104"/>
      <c r="F19" s="105"/>
      <c r="G19" s="105"/>
      <c r="H19" s="106"/>
      <c r="I19" s="111"/>
      <c r="J19" s="111"/>
      <c r="K19" s="112"/>
      <c r="L19" t="str">
        <f t="shared" si="2"/>
        <v/>
      </c>
      <c r="M19" t="str">
        <f t="shared" si="1"/>
        <v/>
      </c>
      <c r="N19" s="5" t="str">
        <f>IF(ISBLANK(Distance),"",Open_time Control_1+(INT(Open)&amp;":"&amp;IF(ROUND(((Open-INT(Open))*60),0)&lt;10,0,"")&amp;ROUND(((Open-INT(Open))*60),0)))</f>
        <v/>
      </c>
      <c r="O19" s="5" t="str">
        <f>IF(ISBLANK(Distance),"",Open_time Control_1+(INT(Close)&amp;":"&amp;IF(ROUND(((Close-INT(Close))*60),0)&lt;10,0,"")&amp;ROUND(((Close-INT(Close))*60),0)))</f>
        <v/>
      </c>
    </row>
    <row r="20" spans="2:15" ht="7" customHeight="1" thickBot="1" x14ac:dyDescent="0.25">
      <c r="D20" s="86"/>
      <c r="E20" s="87"/>
      <c r="F20" s="88"/>
      <c r="G20" s="88"/>
      <c r="H20" s="88"/>
      <c r="I20" s="88"/>
      <c r="J20" s="88"/>
      <c r="K20" s="89"/>
      <c r="N20" s="5"/>
      <c r="O20" s="5"/>
    </row>
    <row r="21" spans="2:15" ht="14" thickBot="1" x14ac:dyDescent="0.2">
      <c r="D21" s="118" t="s">
        <v>80</v>
      </c>
      <c r="E21" s="119"/>
      <c r="F21" s="119"/>
      <c r="G21" s="119"/>
      <c r="H21" s="119"/>
      <c r="I21" s="120" t="s">
        <v>77</v>
      </c>
      <c r="J21" s="119"/>
      <c r="K21" s="121"/>
    </row>
    <row r="22" spans="2:15" ht="14" thickBot="1" x14ac:dyDescent="0.2">
      <c r="D22" s="6" t="s">
        <v>24</v>
      </c>
      <c r="E22" s="7" t="s">
        <v>25</v>
      </c>
      <c r="F22" s="84" t="s">
        <v>26</v>
      </c>
      <c r="G22" s="84" t="s">
        <v>27</v>
      </c>
      <c r="H22" s="85" t="s">
        <v>28</v>
      </c>
      <c r="I22" s="7" t="s">
        <v>61</v>
      </c>
      <c r="J22" s="7" t="s">
        <v>62</v>
      </c>
      <c r="K22" s="8" t="s">
        <v>63</v>
      </c>
      <c r="L22" t="s">
        <v>3</v>
      </c>
      <c r="M22" t="s">
        <v>4</v>
      </c>
      <c r="N22" t="s">
        <v>5</v>
      </c>
      <c r="O22" t="s">
        <v>6</v>
      </c>
    </row>
    <row r="23" spans="2:15" ht="16" x14ac:dyDescent="0.2">
      <c r="D23" s="34">
        <v>0</v>
      </c>
      <c r="E23" s="101" t="s">
        <v>85</v>
      </c>
      <c r="F23" s="102" t="s">
        <v>87</v>
      </c>
      <c r="G23" s="102" t="s">
        <v>92</v>
      </c>
      <c r="H23" s="102" t="s">
        <v>86</v>
      </c>
      <c r="I23" s="103"/>
      <c r="J23" s="108"/>
      <c r="K23" s="110" t="s">
        <v>108</v>
      </c>
      <c r="L23">
        <f>IF(ISBLANK(D23),"",IF(D23&gt;1000,(D23-1000)/26+33.0847,(IF(D23&gt;600,(D23-600)/28+18.799,(IF(D23&gt;400,(D23-400)/30+12.1324,(IF(D23&gt;200,(D23-200)/32+5.8824,D23/34))))))))</f>
        <v>0</v>
      </c>
      <c r="M23">
        <f>IF(ISBLANK(D23),"",IF((D23=0),1,IF(D23&gt;=brevet,IF(brevet&gt;1200,(brevet-1200)*75/1000+90,Max_time),IF(D23&gt;1200,(D23-1200)*75/1000+90,IF(D23&gt;1000,(D23-1000)/(1000/75)+75,IF(D23&gt;600,(D23-600)/(400/35)+40,D23/15))))))</f>
        <v>1</v>
      </c>
      <c r="N23" s="5">
        <f>IF(ISBLANK(D23),"",Open_time Control_1+(INT(L23)&amp;":"&amp;IF(ROUND(((L23-INT(L23))*60),0)&lt;10,0,"")&amp;ROUND(((L23-INT(L23))*60),0)))</f>
        <v>44511.291666666664</v>
      </c>
      <c r="O23" s="5">
        <f>IF(ISBLANK(D23),"",Open_time Control_1+(INT(M23)&amp;":"&amp;IF(ROUND(((M23-INT(M23))*60),0)&lt;10,0,"")&amp;ROUND(((M23-INT(M23))*60),0)))</f>
        <v>44511.333333333328</v>
      </c>
    </row>
    <row r="24" spans="2:15" ht="17" customHeight="1" x14ac:dyDescent="0.2">
      <c r="D24" s="34">
        <v>43.8</v>
      </c>
      <c r="E24" s="101" t="s">
        <v>88</v>
      </c>
      <c r="F24" s="103" t="s">
        <v>91</v>
      </c>
      <c r="G24" s="102" t="s">
        <v>90</v>
      </c>
      <c r="H24" s="102" t="s">
        <v>89</v>
      </c>
      <c r="I24" s="108" t="s">
        <v>104</v>
      </c>
      <c r="J24" s="108"/>
      <c r="K24" s="110" t="s">
        <v>105</v>
      </c>
      <c r="L24">
        <f t="shared" ref="L24:L32" si="3">IF(ISBLANK(D24),"",IF(D24&gt;1000,(D24-1000)/26+33.0847,(IF(D24&gt;600,(D24-600)/28+18.799,(IF(D24&gt;400,(D24-400)/30+12.1324,(IF(D24&gt;200,(D24-200)/32+5.8824,D24/34))))))))</f>
        <v>1.2882352941176469</v>
      </c>
      <c r="M24">
        <f t="shared" ref="M24:M32" si="4">IF(ISBLANK(D24),"",IF(D24&gt;=brevet,IF(brevet&gt;1200,(brevet-1200)*75/1000+90,Max_time),IF(D24&gt;1200,(D24-1200)*75/1000+90,IF(D24&gt;1000,(D24-1000)/(1000/75)+75,IF(D24&gt;600,(D24-600)/(400/35)+40,D24/15)))))</f>
        <v>2.92</v>
      </c>
      <c r="N24" s="5">
        <f>IF(ISBLANK(D24),"",Open_time Control_1+(INT(L24)&amp;":"&amp;IF(ROUND(((L24-INT(L24))*60),0)&lt;10,0,"")&amp;ROUND(((L24-INT(L24))*60),0)))</f>
        <v>44511.345138888886</v>
      </c>
      <c r="O24" s="5">
        <f>IF(ISBLANK(D24),"",Open_time Control_1+(INT(M24)&amp;":"&amp;IF(ROUND(((M24-INT(M24))*60),0)&lt;10,0,"")&amp;ROUND(((M24-INT(M24))*60),0)))</f>
        <v>44511.413194444445</v>
      </c>
    </row>
    <row r="25" spans="2:15" ht="17" customHeight="1" x14ac:dyDescent="0.2">
      <c r="D25" s="34">
        <v>61.2</v>
      </c>
      <c r="E25" s="101" t="s">
        <v>82</v>
      </c>
      <c r="F25" s="102" t="s">
        <v>106</v>
      </c>
      <c r="G25" s="102" t="s">
        <v>101</v>
      </c>
      <c r="H25" s="103" t="s">
        <v>107</v>
      </c>
      <c r="I25" s="108"/>
      <c r="J25" s="108"/>
      <c r="K25" s="110" t="s">
        <v>109</v>
      </c>
      <c r="L25">
        <f t="shared" si="3"/>
        <v>1.8</v>
      </c>
      <c r="M25">
        <f t="shared" si="4"/>
        <v>4.08</v>
      </c>
      <c r="N25" s="5">
        <f>IF(ISBLANK(D25),"",Open_time Control_1+(INT(L25)&amp;":"&amp;IF(ROUND(((L25-INT(L25))*60),0)&lt;10,0,"")&amp;ROUND(((L25-INT(L25))*60),0)))</f>
        <v>44511.366666666661</v>
      </c>
      <c r="O25" s="5">
        <f>IF(ISBLANK(D25),"",Open_time Control_1+(INT(M25)&amp;":"&amp;IF(ROUND(((M25-INT(M25))*60),0)&lt;10,0,"")&amp;ROUND(((M25-INT(M25))*60),0)))</f>
        <v>44511.461805555555</v>
      </c>
    </row>
    <row r="26" spans="2:15" ht="17" customHeight="1" x14ac:dyDescent="0.2">
      <c r="D26" s="34">
        <v>75.8</v>
      </c>
      <c r="E26" s="101" t="s">
        <v>82</v>
      </c>
      <c r="F26" s="102" t="s">
        <v>98</v>
      </c>
      <c r="G26" s="102" t="s">
        <v>99</v>
      </c>
      <c r="H26" s="103" t="s">
        <v>100</v>
      </c>
      <c r="I26" s="108" t="s">
        <v>114</v>
      </c>
      <c r="J26" s="108" t="s">
        <v>115</v>
      </c>
      <c r="K26" s="110"/>
      <c r="L26">
        <f t="shared" si="3"/>
        <v>2.2294117647058824</v>
      </c>
      <c r="M26">
        <f t="shared" si="4"/>
        <v>5.0533333333333328</v>
      </c>
      <c r="N26" s="5">
        <f>IF(ISBLANK(D26),"",Open_time Control_1+(INT(L26)&amp;":"&amp;IF(ROUND(((L26-INT(L26))*60),0)&lt;10,0,"")&amp;ROUND(((L26-INT(L26))*60),0)))</f>
        <v>44511.384722222218</v>
      </c>
      <c r="O26" s="5">
        <f>IF(ISBLANK(D26),"",Open_time Control_1+(INT(M26)&amp;":"&amp;IF(ROUND(((M26-INT(M26))*60),0)&lt;10,0,"")&amp;ROUND(((M26-INT(M26))*60),0)))</f>
        <v>44511.502083333333</v>
      </c>
    </row>
    <row r="27" spans="2:15" ht="17" customHeight="1" x14ac:dyDescent="0.2">
      <c r="D27" s="34">
        <v>104.99999999999999</v>
      </c>
      <c r="E27" s="101" t="s">
        <v>93</v>
      </c>
      <c r="F27" s="102" t="s">
        <v>96</v>
      </c>
      <c r="G27" s="102" t="s">
        <v>97</v>
      </c>
      <c r="H27" s="103" t="s">
        <v>111</v>
      </c>
      <c r="I27" s="108" t="s">
        <v>117</v>
      </c>
      <c r="J27" s="108"/>
      <c r="K27" s="110" t="s">
        <v>118</v>
      </c>
      <c r="L27">
        <f t="shared" si="3"/>
        <v>3.0882352941176467</v>
      </c>
      <c r="M27">
        <f t="shared" si="4"/>
        <v>6.9999999999999991</v>
      </c>
      <c r="N27" s="5">
        <f>IF(ISBLANK(D27),"",Open_time Control_1+(INT(L27)&amp;":"&amp;IF(ROUND(((L27-INT(L27))*60),0)&lt;10,0,"")&amp;ROUND(((L27-INT(L27))*60),0)))</f>
        <v>44511.420138888883</v>
      </c>
      <c r="O27" s="5">
        <f>IF(ISBLANK(D27),"",Open_time Control_1+(INT(M27)&amp;":"&amp;IF(ROUND(((M27-INT(M27))*60),0)&lt;10,0,"")&amp;ROUND(((M27-INT(M27))*60),0)))</f>
        <v>44511.583333333328</v>
      </c>
    </row>
    <row r="28" spans="2:15" ht="17" customHeight="1" x14ac:dyDescent="0.2">
      <c r="D28" s="34">
        <v>151.60000000000002</v>
      </c>
      <c r="E28" s="101" t="s">
        <v>82</v>
      </c>
      <c r="F28" s="102" t="s">
        <v>94</v>
      </c>
      <c r="G28" s="103" t="s">
        <v>95</v>
      </c>
      <c r="H28" s="103"/>
      <c r="I28" s="108" t="s">
        <v>116</v>
      </c>
      <c r="J28" s="108"/>
      <c r="K28" s="110"/>
      <c r="L28">
        <f t="shared" si="3"/>
        <v>4.4588235294117657</v>
      </c>
      <c r="M28">
        <f t="shared" si="4"/>
        <v>10.106666666666667</v>
      </c>
      <c r="N28" s="5">
        <f>IF(ISBLANK(D28),"",Open_time Control_1+(INT(L28)&amp;":"&amp;IF(ROUND(((L28-INT(L28))*60),0)&lt;10,0,"")&amp;ROUND(((L28-INT(L28))*60),0)))</f>
        <v>44511.477777777778</v>
      </c>
      <c r="O28" s="5">
        <f>IF(ISBLANK(D28),"",Open_time Control_1+(INT(M28)&amp;":"&amp;IF(ROUND(((M28-INT(M28))*60),0)&lt;10,0,"")&amp;ROUND(((M28-INT(M28))*60),0)))</f>
        <v>44511.712499999994</v>
      </c>
    </row>
    <row r="29" spans="2:15" ht="17" customHeight="1" x14ac:dyDescent="0.2">
      <c r="D29" s="34">
        <v>152.80000000000001</v>
      </c>
      <c r="E29" s="101" t="s">
        <v>82</v>
      </c>
      <c r="F29" s="102" t="s">
        <v>83</v>
      </c>
      <c r="G29" s="102" t="s">
        <v>84</v>
      </c>
      <c r="H29" s="103" t="s">
        <v>112</v>
      </c>
      <c r="I29" s="108"/>
      <c r="J29" s="108"/>
      <c r="K29" s="110" t="s">
        <v>113</v>
      </c>
      <c r="L29">
        <f t="shared" si="3"/>
        <v>4.4941176470588236</v>
      </c>
      <c r="M29">
        <f t="shared" si="4"/>
        <v>10.186666666666667</v>
      </c>
      <c r="N29" s="5">
        <f>IF(ISBLANK(D29),"",Open_time Control_1+(INT(L29)&amp;":"&amp;IF(ROUND(((L29-INT(L29))*60),0)&lt;10,0,"")&amp;ROUND(((L29-INT(L29))*60),0)))</f>
        <v>44511.479166666664</v>
      </c>
      <c r="O29" s="5">
        <f>IF(ISBLANK(D29),"",Open_time Control_1+(INT(M29)&amp;":"&amp;IF(ROUND(((M29-INT(M29))*60),0)&lt;10,0,"")&amp;ROUND(((M29-INT(M29))*60),0)))</f>
        <v>44511.71597222222</v>
      </c>
    </row>
    <row r="30" spans="2:15" ht="17" customHeight="1" x14ac:dyDescent="0.2">
      <c r="D30" s="34">
        <v>202.5</v>
      </c>
      <c r="E30" s="101" t="s">
        <v>85</v>
      </c>
      <c r="F30" s="102" t="s">
        <v>86</v>
      </c>
      <c r="G30" s="102"/>
      <c r="H30" s="103"/>
      <c r="I30" s="103" t="s">
        <v>102</v>
      </c>
      <c r="J30" s="108"/>
      <c r="K30" s="109"/>
      <c r="L30">
        <f t="shared" si="3"/>
        <v>5.9605249999999996</v>
      </c>
      <c r="M30">
        <f t="shared" si="4"/>
        <v>13.5</v>
      </c>
      <c r="N30" s="5">
        <f>IF(ISBLANK(D30),"",Open_time Control_1+(INT(L30)&amp;":"&amp;IF(ROUND(((L30-INT(L30))*60),0)&lt;10,0,"")&amp;ROUND(((L30-INT(L30))*60),0)))</f>
        <v>44511.540277777778</v>
      </c>
      <c r="O30" s="5">
        <f>IF(ISBLANK(D30),"",Open_time Control_1+(INT(M30)&amp;":"&amp;IF(ROUND(((M30-INT(M30))*60),0)&lt;10,0,"")&amp;ROUND(((M30-INT(M30))*60),0)))</f>
        <v>44511.854166666664</v>
      </c>
    </row>
    <row r="31" spans="2:15" ht="17" customHeight="1" x14ac:dyDescent="0.2">
      <c r="D31" s="34"/>
      <c r="E31" s="101"/>
      <c r="F31" s="102"/>
      <c r="G31" s="102"/>
      <c r="H31" s="103"/>
      <c r="I31" s="103"/>
      <c r="J31" s="108"/>
      <c r="K31" s="109"/>
      <c r="L31" t="str">
        <f t="shared" si="3"/>
        <v/>
      </c>
      <c r="M31" t="str">
        <f t="shared" si="4"/>
        <v/>
      </c>
      <c r="N31" s="5" t="str">
        <f>IF(ISBLANK(D31),"",Open_time Control_1+(INT(L31)&amp;":"&amp;IF(ROUND(((L31-INT(L31))*60),0)&lt;10,0,"")&amp;ROUND(((L31-INT(L31))*60),0)))</f>
        <v/>
      </c>
      <c r="O31" s="5" t="str">
        <f>IF(ISBLANK(D31),"",Open_time Control_1+(INT(M31)&amp;":"&amp;IF(ROUND(((M31-INT(M31))*60),0)&lt;10,0,"")&amp;ROUND(((M31-INT(M31))*60),0)))</f>
        <v/>
      </c>
    </row>
    <row r="32" spans="2:15" ht="17" customHeight="1" thickBot="1" x14ac:dyDescent="0.25">
      <c r="D32" s="64"/>
      <c r="E32" s="104"/>
      <c r="F32" s="105"/>
      <c r="G32" s="105"/>
      <c r="H32" s="106"/>
      <c r="I32" s="111"/>
      <c r="J32" s="111"/>
      <c r="K32" s="112"/>
      <c r="L32" t="str">
        <f t="shared" si="3"/>
        <v/>
      </c>
      <c r="M32" t="str">
        <f t="shared" si="4"/>
        <v/>
      </c>
      <c r="N32" s="5" t="str">
        <f>IF(ISBLANK(D32),"",Open_time Control_1+(INT(L32)&amp;":"&amp;IF(ROUND(((L32-INT(L32))*60),0)&lt;10,0,"")&amp;ROUND(((L32-INT(L32))*60),0)))</f>
        <v/>
      </c>
      <c r="O32" s="5" t="str">
        <f>IF(ISBLANK(D32),"",Open_time Control_1+(INT(M32)&amp;":"&amp;IF(ROUND(((M32-INT(M32))*60),0)&lt;10,0,"")&amp;ROUND(((M32-INT(M32))*60),0)))</f>
        <v/>
      </c>
    </row>
  </sheetData>
  <mergeCells count="5">
    <mergeCell ref="J1:K1"/>
    <mergeCell ref="D8:H8"/>
    <mergeCell ref="D21:H21"/>
    <mergeCell ref="I8:K8"/>
    <mergeCell ref="I21:K21"/>
  </mergeCells>
  <phoneticPr fontId="16" type="noConversion"/>
  <pageMargins left="0.75" right="0.75" top="1" bottom="1" header="0.5" footer="0.5"/>
  <pageSetup orientation="portrait" horizontalDpi="4294967292" verticalDpi="4294967292"/>
  <headerFooter>
    <oddHeader>&amp;A</oddHeader>
    <oddFooter>Page &amp;P</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0"/>
  <sheetViews>
    <sheetView showGridLines="0" zoomScale="92" zoomScaleNormal="92" zoomScalePageLayoutView="92" workbookViewId="0">
      <selection activeCell="A4" sqref="A4"/>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style="36" customWidth="1"/>
    <col min="9" max="9" width="12" customWidth="1"/>
    <col min="18" max="19" width="8.83203125" customWidth="1"/>
  </cols>
  <sheetData>
    <row r="1" spans="1:22" ht="21" thickBot="1" x14ac:dyDescent="0.2">
      <c r="A1" s="130" t="s">
        <v>44</v>
      </c>
      <c r="B1" s="130"/>
      <c r="C1" s="130"/>
      <c r="D1" s="130"/>
      <c r="E1" s="130"/>
      <c r="F1" s="130"/>
      <c r="G1" s="130"/>
      <c r="H1" s="35" t="s">
        <v>29</v>
      </c>
    </row>
    <row r="2" spans="1:22" ht="33.75" customHeight="1" thickBot="1" x14ac:dyDescent="0.25">
      <c r="A2" s="100" t="s">
        <v>30</v>
      </c>
      <c r="B2" s="9" t="s">
        <v>3</v>
      </c>
      <c r="C2" s="9" t="s">
        <v>4</v>
      </c>
      <c r="D2" s="9" t="s">
        <v>25</v>
      </c>
      <c r="E2" s="9" t="s">
        <v>31</v>
      </c>
      <c r="F2" s="9" t="s">
        <v>60</v>
      </c>
      <c r="G2" s="100" t="s">
        <v>32</v>
      </c>
      <c r="H2" s="35" t="s">
        <v>29</v>
      </c>
      <c r="K2" s="128" t="s">
        <v>56</v>
      </c>
      <c r="L2" s="128"/>
      <c r="M2" s="128"/>
      <c r="N2" s="128"/>
      <c r="O2" s="128"/>
      <c r="P2" s="128"/>
      <c r="Q2" s="128"/>
      <c r="R2" s="128"/>
      <c r="S2" s="128"/>
      <c r="T2" s="128"/>
      <c r="U2" s="128"/>
    </row>
    <row r="3" spans="1:22" ht="36" customHeight="1" x14ac:dyDescent="0.45">
      <c r="A3" s="39"/>
      <c r="B3" s="40">
        <f>Control_1 Open_time</f>
        <v>44511.291666666664</v>
      </c>
      <c r="C3" s="40">
        <f>Control_1 Close_time</f>
        <v>44511.333333333328</v>
      </c>
      <c r="D3" s="41"/>
      <c r="E3" s="42" t="str">
        <f>IF(ISBLANK(Control_1 Establishment_1),"",Control_1 Establishment_1)</f>
        <v>BC Indians War Memorial</v>
      </c>
      <c r="F3" s="42" t="str">
        <f>IF(ISBLANK('Control Entry'!I10),"",'Control Entry'!I10)</f>
        <v/>
      </c>
      <c r="G3" s="10"/>
      <c r="H3" s="35" t="s">
        <v>29</v>
      </c>
      <c r="K3" s="16"/>
      <c r="O3" s="135" t="s">
        <v>33</v>
      </c>
      <c r="P3" s="135"/>
      <c r="Q3" s="135"/>
      <c r="R3" s="135"/>
      <c r="S3" s="83"/>
      <c r="U3" s="52"/>
    </row>
    <row r="4" spans="1:22" ht="36" customHeight="1" x14ac:dyDescent="0.2">
      <c r="A4" s="48">
        <f>IF(ISBLANK(Distance Control_1),"",Control_1 Distance)</f>
        <v>0</v>
      </c>
      <c r="B4" s="49">
        <f>Control_1 Open_time</f>
        <v>44511.291666666664</v>
      </c>
      <c r="C4" s="49">
        <f>Control_1 Close_time</f>
        <v>44511.333333333328</v>
      </c>
      <c r="D4" s="50" t="str">
        <f>IF(ISBLANK(Locale Control_1),"",Locale Control_1)</f>
        <v>VICTORIA</v>
      </c>
      <c r="E4" s="67" t="str">
        <f>IF(ISBLANK(Control_1 Establishment_2),"",Control_1 Establishment_2)</f>
        <v>Beacon Hill Park</v>
      </c>
      <c r="F4" s="67" t="str">
        <f>IF(ISBLANK('Control Entry'!J10),"",'Control Entry'!J10)</f>
        <v/>
      </c>
      <c r="G4" s="10"/>
      <c r="H4" s="35" t="s">
        <v>29</v>
      </c>
      <c r="K4" s="16"/>
      <c r="M4" s="132" t="str">
        <f>IF(ISBLANK(brevet),"",brevet&amp;" km Randonnée")</f>
        <v>200 km Randonnée</v>
      </c>
      <c r="N4" s="132"/>
      <c r="O4" s="132"/>
      <c r="P4" s="132"/>
      <c r="Q4" s="132"/>
      <c r="R4" s="132"/>
      <c r="S4" s="132"/>
      <c r="T4" s="132"/>
      <c r="U4" s="53"/>
    </row>
    <row r="5" spans="1:22" ht="36" customHeight="1" thickBot="1" x14ac:dyDescent="0.25">
      <c r="A5" s="43"/>
      <c r="B5" s="44">
        <f>Control_1 Open_time</f>
        <v>44511.291666666664</v>
      </c>
      <c r="C5" s="44">
        <f>Control_1 Close_time</f>
        <v>44511.333333333328</v>
      </c>
      <c r="D5" s="45"/>
      <c r="E5" s="115" t="str">
        <f>IF(ISBLANK(Control_1 Establishment_3),"",Control_1 Establishment_3)</f>
        <v/>
      </c>
      <c r="F5" s="107" t="str">
        <f>IF(ISBLANK('Control Entry'!K10),"",'Control Entry'!K10)</f>
        <v/>
      </c>
      <c r="G5" s="11"/>
      <c r="H5" s="35" t="s">
        <v>29</v>
      </c>
      <c r="K5" s="16"/>
      <c r="M5" s="17"/>
      <c r="N5" s="133" t="s">
        <v>48</v>
      </c>
      <c r="O5" s="133"/>
      <c r="P5" s="81">
        <f>IF(ISBLANK(Brevet_Number),"",Brevet_Number)</f>
        <v>5120</v>
      </c>
      <c r="Q5" s="82"/>
      <c r="R5" s="127">
        <f>IF(ISBLANK('Control Entry'!$B5),"",'Control Entry'!$B5)</f>
        <v>44511</v>
      </c>
      <c r="S5" s="127"/>
      <c r="T5" s="127"/>
      <c r="U5" s="127"/>
      <c r="V5" s="54"/>
    </row>
    <row r="6" spans="1:22" ht="36" customHeight="1" x14ac:dyDescent="0.2">
      <c r="A6" s="39"/>
      <c r="B6" s="40">
        <f>Control_2 Open_time</f>
        <v>44511.352777777778</v>
      </c>
      <c r="C6" s="40">
        <f>Control_2 Close_time</f>
        <v>44511.429861111108</v>
      </c>
      <c r="D6" s="47"/>
      <c r="E6" s="42" t="str">
        <f>IF(ISBLANK(Control_2 Establishment_1),"",Control_2 Establishment_1)</f>
        <v>Plaque on left pillar main  sign</v>
      </c>
      <c r="F6" s="42" t="str">
        <f>IF(ISBLANK('Control Entry'!I11),"",'Control Entry'!I11)</f>
        <v/>
      </c>
      <c r="G6" s="10"/>
      <c r="H6" s="35" t="s">
        <v>29</v>
      </c>
      <c r="K6" s="16"/>
      <c r="L6" s="138" t="str">
        <f>IF(ISBLANK(Brevet_Description),"",Brevet_Description)</f>
        <v>CWAC1 to Fallen Leaves</v>
      </c>
      <c r="M6" s="138"/>
      <c r="N6" s="138"/>
      <c r="O6" s="138"/>
      <c r="P6" s="138"/>
      <c r="Q6" s="138"/>
      <c r="R6" s="138"/>
      <c r="S6" s="138"/>
      <c r="T6" s="138"/>
      <c r="U6" s="138"/>
    </row>
    <row r="7" spans="1:22" ht="36" customHeight="1" x14ac:dyDescent="0.2">
      <c r="A7" s="48">
        <f>IF(ISBLANK(Distance Control_2),"",Control_2 Distance)</f>
        <v>49.7</v>
      </c>
      <c r="B7" s="49">
        <f>Control_2 Open_time</f>
        <v>44511.352777777778</v>
      </c>
      <c r="C7" s="49">
        <f>Control_2 Close_time</f>
        <v>44511.429861111108</v>
      </c>
      <c r="D7" s="50" t="str">
        <f>IF(ISBLANK(Locale Control_2),"",Locale Control_2)</f>
        <v>NORTH SAANICH</v>
      </c>
      <c r="E7" s="42" t="str">
        <f>IF(ISBLANK(Control_2 Establishment_2),"",Control_2 Establishment_2)</f>
        <v>to right of access road</v>
      </c>
      <c r="F7" s="67" t="str">
        <f>IF(ISBLANK('Control Entry'!J11),"",'Control Entry'!J11)</f>
        <v/>
      </c>
      <c r="G7" s="10"/>
      <c r="H7" s="35" t="s">
        <v>29</v>
      </c>
    </row>
    <row r="8" spans="1:22" ht="36" customHeight="1" thickBot="1" x14ac:dyDescent="0.25">
      <c r="A8" s="43"/>
      <c r="B8" s="44">
        <f>Control_2 Open_time</f>
        <v>44511.352777777778</v>
      </c>
      <c r="C8" s="44">
        <f>Control_2 Close_time</f>
        <v>44511.429861111108</v>
      </c>
      <c r="D8" s="45"/>
      <c r="E8" s="46" t="str">
        <f>IF(ISBLANK(Control_2 Establishment_3),"",Control_2 Establishment_3)</f>
        <v>Blue Heron Park</v>
      </c>
      <c r="F8" s="107" t="str">
        <f>IF(ISBLANK('Control Entry'!K11),"",'Control Entry'!K11)</f>
        <v>"…and the _______?_______conflict."</v>
      </c>
      <c r="G8" s="11"/>
      <c r="H8" s="35" t="s">
        <v>29</v>
      </c>
      <c r="J8" s="17" t="s">
        <v>34</v>
      </c>
      <c r="L8" s="129"/>
      <c r="M8" s="129"/>
      <c r="N8" s="129"/>
      <c r="O8" s="129"/>
      <c r="P8" s="129"/>
      <c r="Q8" s="129"/>
      <c r="R8" s="36"/>
      <c r="S8" s="55" t="s">
        <v>47</v>
      </c>
      <c r="T8" s="122"/>
      <c r="U8" s="122"/>
    </row>
    <row r="9" spans="1:22" ht="36" customHeight="1" thickBot="1" x14ac:dyDescent="0.3">
      <c r="A9" s="39"/>
      <c r="B9" s="40">
        <f>Control_3 Open_time</f>
        <v>44511.40625</v>
      </c>
      <c r="C9" s="40">
        <f>Control_3 Close_time</f>
        <v>44511.551388888889</v>
      </c>
      <c r="D9" s="47"/>
      <c r="E9" s="42" t="str">
        <f>IF(ISBLANK(Control_3 Establishment_1),"",Control_3 Establishment_1)</f>
        <v>Grave:  Lt. Col. Joan Kennedy</v>
      </c>
      <c r="F9" s="42" t="str">
        <f>IF(ISBLANK('Control Entry'!I12),"",'Control Entry'!I12)</f>
        <v>From Armitage bench, 8 metres to right  at 90deg to road</v>
      </c>
      <c r="G9" s="10"/>
      <c r="H9" s="35" t="s">
        <v>29</v>
      </c>
      <c r="J9" s="17" t="s">
        <v>35</v>
      </c>
      <c r="K9" s="17"/>
      <c r="L9" s="65" t="s">
        <v>55</v>
      </c>
      <c r="M9" s="23"/>
      <c r="N9" s="23"/>
      <c r="O9" s="23"/>
      <c r="P9" s="23"/>
      <c r="Q9" s="23"/>
      <c r="R9" s="23"/>
      <c r="S9" s="23"/>
      <c r="T9" s="23"/>
      <c r="U9" s="21"/>
    </row>
    <row r="10" spans="1:22" ht="36" customHeight="1" thickBot="1" x14ac:dyDescent="0.3">
      <c r="A10" s="48">
        <f>IF(ISBLANK(Distance Control_3),"",Control_3 Distance)</f>
        <v>93.5</v>
      </c>
      <c r="B10" s="49">
        <f>Control_3 Open_time</f>
        <v>44511.40625</v>
      </c>
      <c r="C10" s="49">
        <f>Control_3 Close_time</f>
        <v>44511.551388888889</v>
      </c>
      <c r="D10" s="50" t="str">
        <f>IF(ISBLANK(Locale Control_3),"",Locale Control_3)</f>
        <v>COLWOOD</v>
      </c>
      <c r="E10" s="67" t="str">
        <f>IF(ISBLANK(Control_3 Establishment_2),"",Control_3 Establishment_2)</f>
        <v>Garden of Gesthemane</v>
      </c>
      <c r="F10" s="67" t="str">
        <f>IF(ISBLANK('Control Entry'!J12),"",'Control Entry'!J12)</f>
        <v/>
      </c>
      <c r="G10" s="10"/>
      <c r="H10" s="35" t="s">
        <v>29</v>
      </c>
      <c r="J10" s="17"/>
      <c r="K10" s="17"/>
      <c r="L10" s="37"/>
      <c r="M10" s="23"/>
      <c r="N10" s="23"/>
      <c r="O10" s="23"/>
      <c r="P10" s="23"/>
      <c r="Q10" s="23"/>
      <c r="R10" s="23"/>
      <c r="S10" s="23"/>
      <c r="T10" s="23"/>
      <c r="U10" s="21"/>
    </row>
    <row r="11" spans="1:22" ht="36" customHeight="1" thickBot="1" x14ac:dyDescent="0.3">
      <c r="A11" s="43"/>
      <c r="B11" s="44">
        <f>Control_3 Open_time</f>
        <v>44511.40625</v>
      </c>
      <c r="C11" s="44">
        <f>Control_3 Close_time</f>
        <v>44511.551388888889</v>
      </c>
      <c r="D11" s="45"/>
      <c r="E11" s="115" t="str">
        <f>IF(ISBLANK(Control_3 Establishment_3),"",Control_3 Establishment_3)</f>
        <v>Hatley Memorial Park</v>
      </c>
      <c r="F11" s="107" t="str">
        <f>IF(ISBLANK('Control Entry'!K12),"",'Control Entry'!K12)</f>
        <v>Last line on plaque?</v>
      </c>
      <c r="G11" s="11"/>
      <c r="H11" s="35" t="s">
        <v>29</v>
      </c>
      <c r="J11" s="17" t="s">
        <v>36</v>
      </c>
      <c r="K11" s="17"/>
      <c r="L11" s="37"/>
      <c r="M11" s="23"/>
      <c r="N11" s="23"/>
      <c r="O11" s="24"/>
      <c r="P11" s="24" t="s">
        <v>37</v>
      </c>
      <c r="Q11" s="24"/>
      <c r="R11" s="24"/>
      <c r="S11" s="57"/>
      <c r="T11" s="37"/>
      <c r="U11" s="21"/>
    </row>
    <row r="12" spans="1:22" ht="36" customHeight="1" thickBot="1" x14ac:dyDescent="0.3">
      <c r="A12" s="39"/>
      <c r="B12" s="40">
        <f>Control_4 Open_time</f>
        <v>44511.427777777775</v>
      </c>
      <c r="C12" s="40">
        <f>Control_4 Close_time</f>
        <v>44511.6</v>
      </c>
      <c r="D12" s="47"/>
      <c r="E12" s="42" t="str">
        <f>IF(ISBLANK(Control_4 Establishment_1),"",Control_4 Establishment_1)</f>
        <v>Memorial: The Homecoming</v>
      </c>
      <c r="F12" s="42" t="str">
        <f>IF(ISBLANK('Control Entry'!I13),"",'Control Entry'!I13)</f>
        <v/>
      </c>
      <c r="G12" s="10"/>
      <c r="H12" s="35" t="s">
        <v>29</v>
      </c>
      <c r="J12" s="17" t="s">
        <v>38</v>
      </c>
      <c r="K12" s="17"/>
      <c r="L12" s="37"/>
      <c r="M12" s="23"/>
      <c r="N12" s="23"/>
      <c r="O12" s="24"/>
      <c r="P12" s="24" t="s">
        <v>39</v>
      </c>
      <c r="Q12" s="24"/>
      <c r="R12" s="24"/>
      <c r="S12" s="57"/>
      <c r="T12" s="37"/>
      <c r="U12" s="21"/>
    </row>
    <row r="13" spans="1:22" ht="36" customHeight="1" thickBot="1" x14ac:dyDescent="0.3">
      <c r="A13" s="48">
        <f>IF(ISBLANK(Distance Control_4),"",Control_4 Distance)</f>
        <v>110.9</v>
      </c>
      <c r="B13" s="49">
        <f>Control_4 Open_time</f>
        <v>44511.427777777775</v>
      </c>
      <c r="C13" s="49">
        <f>Control_4 Close_time</f>
        <v>44511.6</v>
      </c>
      <c r="D13" s="50" t="str">
        <f>IF(ISBLANK(Locale Control_4),"",Locale Control_4)</f>
        <v>VICTORIA</v>
      </c>
      <c r="E13" s="42" t="str">
        <f>IF(ISBLANK(Control_4 Establishment_2),"",Control_4 Establishment_2)</f>
        <v>814 Wharf St</v>
      </c>
      <c r="F13" s="42" t="str">
        <f>IF(ISBLANK('Control Entry'!J13),"",'Control Entry'!J13)</f>
        <v/>
      </c>
      <c r="G13" s="10"/>
      <c r="H13" s="35" t="s">
        <v>29</v>
      </c>
      <c r="J13" s="17" t="s">
        <v>40</v>
      </c>
      <c r="L13" s="79"/>
      <c r="M13" s="80"/>
      <c r="N13" s="80"/>
      <c r="O13" s="25"/>
      <c r="P13" s="24" t="s">
        <v>41</v>
      </c>
      <c r="Q13" s="24"/>
      <c r="R13" s="38"/>
      <c r="S13" s="26"/>
      <c r="T13" s="26"/>
      <c r="U13" s="22"/>
    </row>
    <row r="14" spans="1:22" ht="36" customHeight="1" thickBot="1" x14ac:dyDescent="0.25">
      <c r="A14" s="43"/>
      <c r="B14" s="44">
        <f>Control_4 Open_time</f>
        <v>44511.427777777775</v>
      </c>
      <c r="C14" s="44">
        <f>Control_4 Close_time</f>
        <v>44511.6</v>
      </c>
      <c r="D14" s="45"/>
      <c r="E14" s="46" t="str">
        <f>IF(ISBLANK(Control_4 Establishment_3),"",Control_4 Establishment_3)</f>
        <v>Water side granite marker</v>
      </c>
      <c r="F14" s="107" t="str">
        <f>IF(ISBLANK('Control Entry'!K13),"",'Control Entry'!K13)</f>
        <v>"Service to _________?"</v>
      </c>
      <c r="G14" s="11"/>
      <c r="H14" s="35" t="s">
        <v>29</v>
      </c>
    </row>
    <row r="15" spans="1:22" ht="36" customHeight="1" x14ac:dyDescent="0.2">
      <c r="A15" s="39"/>
      <c r="B15" s="40">
        <f>Control_5 Open_time</f>
        <v>44511.445138888885</v>
      </c>
      <c r="C15" s="40">
        <f>Control_5 Close_time</f>
        <v>44511.640277777777</v>
      </c>
      <c r="D15" s="47"/>
      <c r="E15" s="42" t="str">
        <f>IF(ISBLANK(Control_5 Establishment_1),"",Control_5 Establishment_1)</f>
        <v>Hut 'A'</v>
      </c>
      <c r="F15" s="42" t="str">
        <f>IF(ISBLANK('Control Entry'!I14),"",'Control Entry'!I14)</f>
        <v>Door is on which side?</v>
      </c>
      <c r="G15" s="10"/>
      <c r="H15" s="35" t="s">
        <v>29</v>
      </c>
      <c r="J15" s="17"/>
      <c r="L15" s="137" t="s">
        <v>59</v>
      </c>
      <c r="M15" s="137"/>
      <c r="N15" s="137"/>
      <c r="O15" s="137"/>
      <c r="P15" s="137"/>
      <c r="Q15" s="137"/>
      <c r="R15" s="137"/>
      <c r="S15" s="137"/>
      <c r="T15" s="137"/>
      <c r="U15" s="137"/>
    </row>
    <row r="16" spans="1:22" ht="36" customHeight="1" thickBot="1" x14ac:dyDescent="0.25">
      <c r="A16" s="48">
        <f>IF(ISBLANK(Distance Control_5),"",Control_5 Distance)</f>
        <v>125.5</v>
      </c>
      <c r="B16" s="49">
        <f>Control_5 Open_time</f>
        <v>44511.445138888885</v>
      </c>
      <c r="C16" s="49">
        <f>Control_5 Close_time</f>
        <v>44511.640277777777</v>
      </c>
      <c r="D16" s="50" t="str">
        <f>IF(ISBLANK(Locale Control_5),"",Locale Control_5)</f>
        <v>VICTORIA</v>
      </c>
      <c r="E16" s="42" t="str">
        <f>IF(ISBLANK(Control_5 Establishment_2),"",Control_5 Establishment_2)</f>
        <v>Alexander Rd</v>
      </c>
      <c r="F16" s="116" t="str">
        <f>IF(ISBLANK('Control Entry'!J14),"",'Control Entry'!J14)</f>
        <v>LEFT                              RIGHT</v>
      </c>
      <c r="G16" s="10"/>
      <c r="H16" s="35" t="s">
        <v>29</v>
      </c>
      <c r="L16" s="74"/>
      <c r="M16" s="74"/>
      <c r="N16" s="74"/>
      <c r="O16" s="74"/>
      <c r="P16" s="74"/>
      <c r="Q16" s="75"/>
      <c r="R16" s="75"/>
      <c r="S16" s="75"/>
      <c r="T16" s="75"/>
      <c r="U16" s="75"/>
    </row>
    <row r="17" spans="1:22" ht="36" customHeight="1" thickBot="1" x14ac:dyDescent="0.25">
      <c r="A17" s="43"/>
      <c r="B17" s="44">
        <f>Control_5 Open_time</f>
        <v>44511.445138888885</v>
      </c>
      <c r="C17" s="44">
        <f>Control_5 Close_time</f>
        <v>44511.640277777777</v>
      </c>
      <c r="D17" s="45"/>
      <c r="E17" s="46" t="str">
        <f>IF(ISBLANK(Control_5 Establishment_3),"",Control_5 Establishment_3)</f>
        <v>UVIC</v>
      </c>
      <c r="F17" s="46" t="str">
        <f>IF(ISBLANK('Control Entry'!K14),"",'Control Entry'!K14)</f>
        <v/>
      </c>
      <c r="G17" s="11"/>
      <c r="H17" s="35" t="s">
        <v>29</v>
      </c>
    </row>
    <row r="18" spans="1:22" ht="36" customHeight="1" x14ac:dyDescent="0.2">
      <c r="A18" s="39"/>
      <c r="B18" s="40">
        <f>Control_6 Open_time</f>
        <v>44511.481249999997</v>
      </c>
      <c r="C18" s="40">
        <f>Control_6 Close_time</f>
        <v>44511.721527777772</v>
      </c>
      <c r="D18" s="47"/>
      <c r="E18" s="42" t="str">
        <f>IF(ISBLANK(Control_6 Establishment_1),"",Control_6 Establishment_1)</f>
        <v>BC Aviation Museum</v>
      </c>
      <c r="F18" s="42" t="str">
        <f>IF(ISBLANK('Control Entry'!I15),"",'Control Entry'!I15)</f>
        <v>4th parking stall to right of gate</v>
      </c>
      <c r="G18" s="10"/>
      <c r="H18" s="35" t="s">
        <v>29</v>
      </c>
    </row>
    <row r="19" spans="1:22" ht="36" customHeight="1" x14ac:dyDescent="0.2">
      <c r="A19" s="48">
        <f>IF(ISBLANK(Distance Control_6),"",Control_6 Distance)</f>
        <v>154.69999999999999</v>
      </c>
      <c r="B19" s="49">
        <f>Control_6 Open_time</f>
        <v>44511.481249999997</v>
      </c>
      <c r="C19" s="49">
        <f>Control_6 Close_time</f>
        <v>44511.721527777772</v>
      </c>
      <c r="D19" s="50" t="str">
        <f>IF(ISBLANK(Locale Control_6),"",Locale Control_6)</f>
        <v>NORTH SAANICH</v>
      </c>
      <c r="E19" s="42" t="str">
        <f>IF(ISBLANK(Control_6 Establishment_2),"",Control_6 Establishment_2)</f>
        <v>1910 Norseman Rd</v>
      </c>
      <c r="F19" s="42" t="str">
        <f>IF(ISBLANK('Control Entry'!J15),"",'Control Entry'!J15)</f>
        <v/>
      </c>
      <c r="G19" s="10"/>
      <c r="H19" s="35" t="s">
        <v>29</v>
      </c>
    </row>
    <row r="20" spans="1:22" ht="36" customHeight="1" thickBot="1" x14ac:dyDescent="0.25">
      <c r="A20" s="43"/>
      <c r="B20" s="44">
        <f>Control_6 Open_time</f>
        <v>44511.481249999997</v>
      </c>
      <c r="C20" s="44">
        <f>Control_6 Close_time</f>
        <v>44511.721527777772</v>
      </c>
      <c r="D20" s="45"/>
      <c r="E20" s="46" t="str">
        <f>IF(ISBLANK(Control_6 Establishment_3),"",Control_6 Establishment_3)</f>
        <v>Victoria Airport</v>
      </c>
      <c r="F20" s="46" t="str">
        <f>IF(ISBLANK('Control Entry'!K15),"",'Control Entry'!K15)</f>
        <v>What covers back of memorial?</v>
      </c>
      <c r="G20" s="11"/>
      <c r="H20" s="35" t="s">
        <v>29</v>
      </c>
      <c r="J20" s="73" t="s">
        <v>45</v>
      </c>
      <c r="K20" s="73"/>
      <c r="L20" s="76"/>
      <c r="M20" s="76"/>
      <c r="N20" s="76"/>
      <c r="P20" s="24" t="s">
        <v>0</v>
      </c>
      <c r="Q20" s="24"/>
      <c r="S20" s="136">
        <f>'Control Entry'!B8</f>
        <v>0.29166666666666669</v>
      </c>
      <c r="T20" s="136"/>
      <c r="U20" s="136"/>
    </row>
    <row r="21" spans="1:22" ht="36" customHeight="1" x14ac:dyDescent="0.2">
      <c r="A21" s="39"/>
      <c r="B21" s="40">
        <f>Control_7 Open_time</f>
        <v>44511.538194444445</v>
      </c>
      <c r="C21" s="40">
        <f>Control_7 Close_time</f>
        <v>44511.854166666664</v>
      </c>
      <c r="D21" s="47"/>
      <c r="E21" s="42" t="str">
        <f>IF(ISBLANK(Control_7 Establishment_1),"",Control_7 Establishment_1)</f>
        <v>Beagle Pub</v>
      </c>
      <c r="F21" s="42" t="str">
        <f>IF(ISBLANK('Control Entry'!I16),"",'Control Entry'!I16)</f>
        <v/>
      </c>
      <c r="G21" s="10"/>
      <c r="H21" s="35" t="s">
        <v>29</v>
      </c>
      <c r="J21" s="73"/>
      <c r="K21" s="73"/>
      <c r="L21" s="71"/>
      <c r="M21" s="71"/>
      <c r="N21" s="71"/>
      <c r="P21" s="24"/>
      <c r="Q21" s="24"/>
      <c r="R21" s="29"/>
      <c r="S21" s="77"/>
      <c r="T21" s="77"/>
      <c r="U21" s="77"/>
      <c r="V21" s="36"/>
    </row>
    <row r="22" spans="1:22" ht="36" customHeight="1" thickBot="1" x14ac:dyDescent="0.25">
      <c r="A22" s="48">
        <f>IF(ISBLANK(Distance Control_7),"",Control_7 Distance)</f>
        <v>201.3</v>
      </c>
      <c r="B22" s="49">
        <f>Control_7 Open_time</f>
        <v>44511.538194444445</v>
      </c>
      <c r="C22" s="49">
        <f>Control_7 Close_time</f>
        <v>44511.854166666664</v>
      </c>
      <c r="D22" s="50" t="str">
        <f>IF(ISBLANK(Locale Control_7),"",Locale Control_7)</f>
        <v>VICTORIA</v>
      </c>
      <c r="E22" s="42" t="str">
        <f>IF(ISBLANK(Control_7 Establishment_2),"",Control_7 Establishment_2)</f>
        <v>301 Cook St</v>
      </c>
      <c r="F22" s="42" t="str">
        <f>IF(ISBLANK('Control Entry'!J16),"",'Control Entry'!J16)</f>
        <v/>
      </c>
      <c r="G22" s="10"/>
      <c r="H22" s="35" t="s">
        <v>29</v>
      </c>
      <c r="J22" s="72" t="s">
        <v>46</v>
      </c>
      <c r="K22" s="72"/>
      <c r="L22" s="76"/>
      <c r="M22" s="76"/>
      <c r="N22" s="76"/>
      <c r="O22" s="25"/>
      <c r="P22" s="24" t="s">
        <v>1</v>
      </c>
      <c r="Q22" s="24"/>
      <c r="R22" s="25"/>
      <c r="S22" s="78"/>
      <c r="T22" s="78"/>
      <c r="U22" s="78"/>
    </row>
    <row r="23" spans="1:22" ht="36" customHeight="1" thickBot="1" x14ac:dyDescent="0.25">
      <c r="A23" s="43"/>
      <c r="B23" s="44">
        <f>Control_7 Open_time</f>
        <v>44511.538194444445</v>
      </c>
      <c r="C23" s="44">
        <f>Control_7 Close_time</f>
        <v>44511.854166666664</v>
      </c>
      <c r="D23" s="45"/>
      <c r="E23" s="46" t="str">
        <f>IF(ISBLANK(Control_7 Establishment_3),"",Control_7 Establishment_3)</f>
        <v/>
      </c>
      <c r="F23" s="46" t="str">
        <f>IF(ISBLANK('Control Entry'!K16),"",'Control Entry'!K16)</f>
        <v/>
      </c>
      <c r="G23" s="11"/>
      <c r="H23" s="35" t="s">
        <v>29</v>
      </c>
      <c r="J23" s="72"/>
      <c r="K23" s="72"/>
      <c r="L23" s="71"/>
      <c r="M23" s="71"/>
      <c r="N23" s="71"/>
      <c r="O23" s="29"/>
      <c r="P23" s="70"/>
      <c r="Q23" s="70"/>
      <c r="R23" s="29"/>
      <c r="S23" s="29"/>
      <c r="T23" s="29"/>
      <c r="U23" s="29"/>
      <c r="V23" s="36"/>
    </row>
    <row r="24" spans="1:22" ht="36" customHeight="1" thickBot="1" x14ac:dyDescent="0.25">
      <c r="A24" s="39"/>
      <c r="B24" s="40" t="str">
        <f>Control_8 Open_time</f>
        <v/>
      </c>
      <c r="C24" s="40" t="str">
        <f>Control_8 Close_time</f>
        <v/>
      </c>
      <c r="D24" s="47"/>
      <c r="E24" s="42" t="str">
        <f>IF(ISBLANK(Control_8 Establishment_1),"",Control_8 Establishment_1)</f>
        <v/>
      </c>
      <c r="F24" s="42" t="str">
        <f>IF(ISBLANK('Control Entry'!I17),"",'Control Entry'!I17)</f>
        <v/>
      </c>
      <c r="G24" s="10"/>
      <c r="H24" s="35" t="s">
        <v>29</v>
      </c>
      <c r="J24" s="18"/>
      <c r="K24" s="18"/>
      <c r="L24" s="18"/>
      <c r="M24" s="26"/>
      <c r="N24" s="26"/>
      <c r="O24" s="25"/>
      <c r="P24" s="24" t="s">
        <v>2</v>
      </c>
      <c r="Q24" s="24"/>
      <c r="R24" s="25"/>
      <c r="S24" s="26"/>
      <c r="T24" s="26"/>
      <c r="U24" s="26"/>
    </row>
    <row r="25" spans="1:22" ht="36" customHeight="1" x14ac:dyDescent="0.2">
      <c r="A25" s="48" t="str">
        <f>IF(ISBLANK(Distance Control_8),"",Control_8 Distance)</f>
        <v/>
      </c>
      <c r="B25" s="49" t="str">
        <f>Control_8 Open_time</f>
        <v/>
      </c>
      <c r="C25" s="49" t="str">
        <f>Control_8 Close_time</f>
        <v/>
      </c>
      <c r="D25" s="50" t="str">
        <f>IF(ISBLANK(Locale Control_8),"",Locale Control_8)</f>
        <v/>
      </c>
      <c r="E25" s="67" t="str">
        <f>IF(ISBLANK(Control_8 Establishment_2),"",Control_8 Establishment_2)</f>
        <v/>
      </c>
      <c r="F25" s="42" t="str">
        <f>IF(ISBLANK('Control Entry'!J17),"",'Control Entry'!J17)</f>
        <v/>
      </c>
      <c r="G25" s="10"/>
      <c r="H25" s="35" t="s">
        <v>29</v>
      </c>
      <c r="J25" s="134" t="s">
        <v>17</v>
      </c>
      <c r="K25" s="134"/>
      <c r="L25" s="134"/>
      <c r="M25" s="134"/>
      <c r="N25" s="134"/>
      <c r="O25" s="63"/>
      <c r="P25" s="124"/>
      <c r="Q25" s="124"/>
      <c r="R25" s="63"/>
      <c r="S25" s="125"/>
      <c r="T25" s="125"/>
      <c r="U25" s="125"/>
      <c r="V25" s="125"/>
    </row>
    <row r="26" spans="1:22" ht="36" customHeight="1" thickBot="1" x14ac:dyDescent="0.25">
      <c r="A26" s="43"/>
      <c r="B26" s="44" t="str">
        <f>Control_8 Open_time</f>
        <v/>
      </c>
      <c r="C26" s="44" t="str">
        <f>Control_8 Close_time</f>
        <v/>
      </c>
      <c r="D26" s="45"/>
      <c r="E26" s="46" t="str">
        <f>IF(ISBLANK(Control_8 Establishment_3),"",Control_8 Establishment_3)</f>
        <v/>
      </c>
      <c r="F26" s="46" t="str">
        <f>IF(ISBLANK('Control Entry'!K17),"",'Control Entry'!K17)</f>
        <v/>
      </c>
      <c r="G26" s="11"/>
      <c r="H26" s="35" t="s">
        <v>29</v>
      </c>
    </row>
    <row r="27" spans="1:22" ht="36" customHeight="1" x14ac:dyDescent="0.2">
      <c r="A27" s="39"/>
      <c r="B27" s="40" t="str">
        <f>Control_9 Open_time</f>
        <v/>
      </c>
      <c r="C27" s="40" t="str">
        <f>Control_9 Close_time</f>
        <v/>
      </c>
      <c r="D27" s="47"/>
      <c r="E27" s="42" t="str">
        <f>IF(ISBLANK(Control_9 Establishment_1),"",Control_9 Establishment_1)</f>
        <v/>
      </c>
      <c r="F27" s="42" t="str">
        <f>IF(ISBLANK('Control Entry'!I18),"",'Control Entry'!I18)</f>
        <v/>
      </c>
      <c r="G27" s="10"/>
      <c r="H27" s="35" t="s">
        <v>29</v>
      </c>
      <c r="K27" s="132" t="s">
        <v>57</v>
      </c>
      <c r="L27" s="124"/>
      <c r="M27" s="62" t="s">
        <v>58</v>
      </c>
      <c r="N27" s="124" t="s">
        <v>50</v>
      </c>
      <c r="O27" s="124"/>
      <c r="P27" s="124" t="s">
        <v>51</v>
      </c>
      <c r="Q27" s="124"/>
      <c r="R27" s="63" t="s">
        <v>52</v>
      </c>
      <c r="S27" s="125" t="s">
        <v>53</v>
      </c>
      <c r="T27" s="125"/>
      <c r="U27" s="125" t="s">
        <v>54</v>
      </c>
      <c r="V27" s="125"/>
    </row>
    <row r="28" spans="1:22" ht="36" customHeight="1" x14ac:dyDescent="0.2">
      <c r="A28" s="48" t="str">
        <f>IF(ISBLANK(Distance Control_9),"",Control_9 Distance)</f>
        <v/>
      </c>
      <c r="B28" s="49" t="str">
        <f>Control_9 Open_time</f>
        <v/>
      </c>
      <c r="C28" s="49" t="str">
        <f>Control_9 Close_time</f>
        <v/>
      </c>
      <c r="D28" s="50" t="str">
        <f>IF(ISBLANK(Locale Control_9),"",Locale Control_9)</f>
        <v/>
      </c>
      <c r="E28" s="67" t="str">
        <f>IF(ISBLANK(Control_9 Establishment_2),"",Control_9 Establishment_2)</f>
        <v/>
      </c>
      <c r="F28" s="42" t="str">
        <f>IF(ISBLANK('Control Entry'!J18),"",'Control Entry'!J18)</f>
        <v/>
      </c>
      <c r="G28" s="10"/>
      <c r="H28" s="35" t="s">
        <v>29</v>
      </c>
    </row>
    <row r="29" spans="1:22" ht="36" customHeight="1" thickBot="1" x14ac:dyDescent="0.25">
      <c r="A29" s="43"/>
      <c r="B29" s="44" t="str">
        <f>Control_9 Open_time</f>
        <v/>
      </c>
      <c r="C29" s="44" t="str">
        <f>Control_9 Close_time</f>
        <v/>
      </c>
      <c r="D29" s="45"/>
      <c r="E29" s="115" t="str">
        <f>IF(ISBLANK(Control_9 Establishment_3),"",Control_9 Establishment_3)</f>
        <v/>
      </c>
      <c r="F29" s="46" t="str">
        <f>IF(ISBLANK('Control Entry'!K18),"",'Control Entry'!K18)</f>
        <v/>
      </c>
      <c r="G29" s="11"/>
      <c r="H29" s="35" t="s">
        <v>29</v>
      </c>
      <c r="M29" s="123" t="s">
        <v>42</v>
      </c>
      <c r="N29" s="123"/>
      <c r="O29" s="123"/>
      <c r="P29" s="123"/>
      <c r="Q29" s="123"/>
      <c r="R29" s="123"/>
      <c r="S29" s="123"/>
      <c r="T29" s="123"/>
      <c r="U29" s="68"/>
    </row>
    <row r="30" spans="1:22" ht="36" customHeight="1" x14ac:dyDescent="0.2">
      <c r="A30" s="39"/>
      <c r="B30" s="40" t="str">
        <f>Control_10 Open_time</f>
        <v/>
      </c>
      <c r="C30" s="40" t="str">
        <f>Control_10 Close_time</f>
        <v/>
      </c>
      <c r="D30" s="47"/>
      <c r="E30" s="42" t="str">
        <f>IF(ISBLANK(Control_10 Establishment_1),"",Control_10 Establishment_1)</f>
        <v/>
      </c>
      <c r="F30" s="42" t="str">
        <f>IF(ISBLANK('Control Entry'!I19),"",'Control Entry'!I19)</f>
        <v/>
      </c>
      <c r="G30" s="10"/>
      <c r="H30" s="35" t="s">
        <v>29</v>
      </c>
      <c r="M30" s="19"/>
      <c r="N30" s="27"/>
      <c r="O30" s="27"/>
      <c r="P30" s="28"/>
      <c r="Q30" s="27"/>
      <c r="R30" s="27"/>
      <c r="S30" s="27"/>
      <c r="T30" s="28"/>
      <c r="U30" s="29"/>
    </row>
    <row r="31" spans="1:22" ht="36" customHeight="1" x14ac:dyDescent="0.2">
      <c r="A31" s="48" t="str">
        <f>IF(ISBLANK(Distance Control_10),"",Control_10 Distance)</f>
        <v/>
      </c>
      <c r="B31" s="49" t="str">
        <f>Control_10 Open_time</f>
        <v/>
      </c>
      <c r="C31" s="49" t="str">
        <f>Control_10 Close_time</f>
        <v/>
      </c>
      <c r="D31" s="50" t="str">
        <f>IF(ISBLANK(Locale Control_10),"",Locale Control_10)</f>
        <v/>
      </c>
      <c r="E31" s="42" t="str">
        <f>IF(ISBLANK(Control_10 Establishment_2),"",Control_10 Establishment_2)</f>
        <v/>
      </c>
      <c r="F31" s="42" t="str">
        <f>IF(ISBLANK('Control Entry'!J19),"",'Control Entry'!J19)</f>
        <v/>
      </c>
      <c r="G31" s="10"/>
      <c r="H31" s="35" t="s">
        <v>29</v>
      </c>
      <c r="M31" s="20"/>
      <c r="N31" s="29"/>
      <c r="O31" s="29"/>
      <c r="P31" s="30"/>
      <c r="Q31" s="29"/>
      <c r="R31" s="29"/>
      <c r="S31" s="29"/>
      <c r="T31" s="30"/>
      <c r="U31" s="29"/>
    </row>
    <row r="32" spans="1:22" ht="36" customHeight="1" thickBot="1" x14ac:dyDescent="0.25">
      <c r="A32" s="43"/>
      <c r="B32" s="44" t="str">
        <f>Control_10 Open_time</f>
        <v/>
      </c>
      <c r="C32" s="44" t="str">
        <f>Control_10 Close_time</f>
        <v/>
      </c>
      <c r="D32" s="45"/>
      <c r="E32" s="46" t="str">
        <f>IF(ISBLANK(Control_10 Establishment_3),"",Control_10 Establishment_3)</f>
        <v/>
      </c>
      <c r="F32" s="46" t="str">
        <f>IF(ISBLANK('Control Entry'!K19),"",'Control Entry'!K19)</f>
        <v/>
      </c>
      <c r="G32" s="11"/>
      <c r="H32" s="35" t="s">
        <v>29</v>
      </c>
      <c r="M32" s="66"/>
      <c r="N32" s="26"/>
      <c r="O32" s="26"/>
      <c r="P32" s="31"/>
      <c r="Q32" s="26"/>
      <c r="R32" s="26"/>
      <c r="S32" s="26"/>
      <c r="T32" s="31"/>
      <c r="U32" s="29"/>
    </row>
    <row r="33" spans="1:22" ht="36" customHeight="1" x14ac:dyDescent="0.2">
      <c r="A33" s="131" t="s">
        <v>43</v>
      </c>
      <c r="B33" s="131"/>
      <c r="C33" s="131"/>
      <c r="D33" s="131"/>
      <c r="E33" s="131"/>
      <c r="F33" s="131"/>
      <c r="G33" s="131"/>
      <c r="H33" s="51"/>
      <c r="I33" s="51"/>
      <c r="N33" s="126"/>
      <c r="O33" s="126"/>
      <c r="P33" s="126"/>
      <c r="Q33" s="126"/>
      <c r="R33" s="126"/>
      <c r="S33" s="126"/>
      <c r="T33" s="126"/>
      <c r="U33" s="126"/>
      <c r="V33" s="61"/>
    </row>
    <row r="34" spans="1:22" ht="36" customHeight="1" x14ac:dyDescent="0.2">
      <c r="A34"/>
      <c r="O34" s="59"/>
      <c r="P34" s="59"/>
      <c r="Q34" s="59"/>
      <c r="R34" s="58"/>
    </row>
    <row r="35" spans="1:22" ht="36" customHeight="1" x14ac:dyDescent="0.2">
      <c r="A35"/>
      <c r="N35" s="123"/>
      <c r="O35" s="123"/>
      <c r="P35" s="123"/>
      <c r="Q35" s="123"/>
      <c r="R35" s="123"/>
      <c r="S35" s="123"/>
      <c r="T35" s="123"/>
      <c r="U35" s="123"/>
    </row>
    <row r="36" spans="1:22" ht="36" customHeight="1" x14ac:dyDescent="0.15">
      <c r="A36"/>
      <c r="N36" s="36"/>
      <c r="O36" s="29"/>
      <c r="P36" s="29"/>
      <c r="Q36" s="29"/>
      <c r="R36" s="29"/>
      <c r="S36" s="29"/>
      <c r="T36" s="29"/>
      <c r="U36" s="29"/>
    </row>
    <row r="37" spans="1:22" ht="36" customHeight="1" x14ac:dyDescent="0.15">
      <c r="A37"/>
      <c r="N37" s="36"/>
      <c r="O37" s="29"/>
      <c r="P37" s="29"/>
      <c r="Q37" s="29"/>
      <c r="R37" s="29"/>
      <c r="S37" s="29"/>
      <c r="T37" s="29"/>
      <c r="U37" s="29"/>
    </row>
    <row r="38" spans="1:22" ht="36" customHeight="1" x14ac:dyDescent="0.2">
      <c r="A38"/>
      <c r="N38" s="69"/>
      <c r="O38" s="29"/>
      <c r="P38" s="29"/>
      <c r="Q38" s="29"/>
      <c r="R38" s="29"/>
      <c r="S38" s="29"/>
      <c r="T38" s="29"/>
      <c r="U38" s="29"/>
    </row>
    <row r="39" spans="1:22" ht="36" customHeight="1" x14ac:dyDescent="0.15">
      <c r="A39"/>
    </row>
    <row r="40" spans="1:22" ht="36" customHeight="1" x14ac:dyDescent="0.15">
      <c r="A40"/>
    </row>
  </sheetData>
  <mergeCells count="24">
    <mergeCell ref="R5:U5"/>
    <mergeCell ref="K2:U2"/>
    <mergeCell ref="L8:Q8"/>
    <mergeCell ref="A1:G1"/>
    <mergeCell ref="A33:G33"/>
    <mergeCell ref="M4:T4"/>
    <mergeCell ref="P25:Q25"/>
    <mergeCell ref="S25:T25"/>
    <mergeCell ref="U25:V25"/>
    <mergeCell ref="N5:O5"/>
    <mergeCell ref="K27:L27"/>
    <mergeCell ref="J25:N25"/>
    <mergeCell ref="O3:R3"/>
    <mergeCell ref="S20:U20"/>
    <mergeCell ref="L15:U15"/>
    <mergeCell ref="L6:U6"/>
    <mergeCell ref="T8:U8"/>
    <mergeCell ref="N35:U35"/>
    <mergeCell ref="M29:T29"/>
    <mergeCell ref="N27:O27"/>
    <mergeCell ref="P27:Q27"/>
    <mergeCell ref="S27:T27"/>
    <mergeCell ref="U27:V27"/>
    <mergeCell ref="N33:U33"/>
  </mergeCells>
  <phoneticPr fontId="16" type="noConversion"/>
  <pageMargins left="0.2" right="0.2" top="0.2" bottom="0.2" header="0.51" footer="0.51"/>
  <pageSetup scale="45"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0"/>
  <sheetViews>
    <sheetView showGridLines="0" topLeftCell="A10" zoomScale="92" zoomScaleNormal="92" zoomScalePageLayoutView="92" workbookViewId="0">
      <selection activeCell="F13" sqref="F13"/>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style="36" customWidth="1"/>
    <col min="9" max="9" width="12" customWidth="1"/>
    <col min="18" max="19" width="8.83203125" customWidth="1"/>
  </cols>
  <sheetData>
    <row r="1" spans="1:22" ht="21" thickBot="1" x14ac:dyDescent="0.2">
      <c r="A1" s="130" t="s">
        <v>44</v>
      </c>
      <c r="B1" s="130"/>
      <c r="C1" s="130"/>
      <c r="D1" s="130"/>
      <c r="E1" s="130"/>
      <c r="F1" s="130"/>
      <c r="G1" s="130"/>
      <c r="H1" s="35" t="s">
        <v>29</v>
      </c>
    </row>
    <row r="2" spans="1:22" ht="33.75" customHeight="1" thickBot="1" x14ac:dyDescent="0.25">
      <c r="A2" s="100" t="s">
        <v>30</v>
      </c>
      <c r="B2" s="9" t="s">
        <v>3</v>
      </c>
      <c r="C2" s="9" t="s">
        <v>4</v>
      </c>
      <c r="D2" s="9" t="s">
        <v>25</v>
      </c>
      <c r="E2" s="9" t="s">
        <v>31</v>
      </c>
      <c r="F2" s="9" t="s">
        <v>60</v>
      </c>
      <c r="G2" s="100" t="s">
        <v>32</v>
      </c>
      <c r="H2" s="35" t="s">
        <v>29</v>
      </c>
      <c r="K2" s="128" t="s">
        <v>56</v>
      </c>
      <c r="L2" s="128"/>
      <c r="M2" s="128"/>
      <c r="N2" s="128"/>
      <c r="O2" s="128"/>
      <c r="P2" s="128"/>
      <c r="Q2" s="128"/>
      <c r="R2" s="128"/>
      <c r="S2" s="128"/>
      <c r="T2" s="128"/>
      <c r="U2" s="128"/>
    </row>
    <row r="3" spans="1:22" ht="36" customHeight="1" x14ac:dyDescent="0.45">
      <c r="A3" s="39"/>
      <c r="B3" s="40">
        <f>'Control Entry'!N23</f>
        <v>44511.291666666664</v>
      </c>
      <c r="C3" s="40">
        <f>'Control Entry'!O23</f>
        <v>44511.333333333328</v>
      </c>
      <c r="D3" s="41"/>
      <c r="E3" s="42" t="str">
        <f>IF(ISBLANK('Control Entry'!F23),"",'Control Entry'!F23)</f>
        <v>Plaque on main entry sign</v>
      </c>
      <c r="F3" s="42" t="str">
        <f>IF(ISBLANK('Control Entry'!I23),"",'Control Entry'!I23)</f>
        <v/>
      </c>
      <c r="G3" s="10"/>
      <c r="H3" s="35" t="s">
        <v>29</v>
      </c>
      <c r="K3" s="16"/>
      <c r="N3" s="135" t="s">
        <v>78</v>
      </c>
      <c r="O3" s="135"/>
      <c r="P3" s="135"/>
      <c r="Q3" s="135"/>
      <c r="R3" s="135"/>
      <c r="S3" s="135"/>
      <c r="T3" s="52"/>
      <c r="U3" s="52"/>
    </row>
    <row r="4" spans="1:22" ht="36" customHeight="1" x14ac:dyDescent="0.2">
      <c r="A4" s="48">
        <f>IF(ISBLANK('Control Entry'!D23),"",'Control Entry'!D23)</f>
        <v>0</v>
      </c>
      <c r="B4" s="49">
        <f>'Control Entry'!N23</f>
        <v>44511.291666666664</v>
      </c>
      <c r="C4" s="49">
        <f>'Control Entry'!O23</f>
        <v>44511.333333333328</v>
      </c>
      <c r="D4" s="50" t="str">
        <f>IF(ISBLANK('Control Entry'!E23),"",'Control Entry'!E23)</f>
        <v>NORTH SAANICH</v>
      </c>
      <c r="E4" s="42" t="str">
        <f>IF(ISBLANK('Control Entry'!G23),"",'Control Entry'!G23)</f>
        <v>to right of access road</v>
      </c>
      <c r="F4" s="42" t="str">
        <f>IF(ISBLANK('Control Entry'!J23),"",'Control Entry'!J23)</f>
        <v/>
      </c>
      <c r="G4" s="10"/>
      <c r="H4" s="35" t="s">
        <v>29</v>
      </c>
      <c r="K4" s="16"/>
      <c r="M4" s="132" t="str">
        <f>IF(ISBLANK(brevet),"",brevet&amp;" km Randonnée")</f>
        <v>200 km Randonnée</v>
      </c>
      <c r="N4" s="132"/>
      <c r="O4" s="132"/>
      <c r="P4" s="132"/>
      <c r="Q4" s="132"/>
      <c r="R4" s="132"/>
      <c r="S4" s="132"/>
      <c r="T4" s="132"/>
      <c r="U4" s="53"/>
    </row>
    <row r="5" spans="1:22" ht="36" customHeight="1" thickBot="1" x14ac:dyDescent="0.25">
      <c r="A5" s="43"/>
      <c r="B5" s="44">
        <f>'Control Entry'!N23</f>
        <v>44511.291666666664</v>
      </c>
      <c r="C5" s="44">
        <f>'Control Entry'!O23</f>
        <v>44511.333333333328</v>
      </c>
      <c r="D5" s="45"/>
      <c r="E5" s="46" t="str">
        <f>IF(ISBLANK('Control Entry'!H23),"",'Control Entry'!H23)</f>
        <v>Blue Heron Park</v>
      </c>
      <c r="F5" s="46" t="str">
        <f>IF(ISBLANK('Control Entry'!K23),"",'Control Entry'!K23)</f>
        <v>"…and the _______?_______conflict."</v>
      </c>
      <c r="G5" s="11"/>
      <c r="H5" s="35" t="s">
        <v>29</v>
      </c>
      <c r="K5" s="16"/>
      <c r="M5" s="17"/>
      <c r="N5" s="133" t="s">
        <v>48</v>
      </c>
      <c r="O5" s="133"/>
      <c r="P5" s="81">
        <f>IF(ISBLANK(Brevet_Number),"",Brevet_Number)</f>
        <v>5120</v>
      </c>
      <c r="Q5" s="82"/>
      <c r="R5" s="127">
        <f>IF(ISBLANK('Control Entry'!$B5),"",'Control Entry'!$B5)</f>
        <v>44511</v>
      </c>
      <c r="S5" s="127"/>
      <c r="T5" s="127"/>
      <c r="U5" s="127"/>
      <c r="V5" s="54"/>
    </row>
    <row r="6" spans="1:22" ht="36" customHeight="1" x14ac:dyDescent="0.2">
      <c r="A6" s="39"/>
      <c r="B6" s="40">
        <f>'Control Entry'!N24</f>
        <v>44511.345138888886</v>
      </c>
      <c r="C6" s="40">
        <f>'Control Entry'!O24</f>
        <v>44511.413194444445</v>
      </c>
      <c r="D6" s="47"/>
      <c r="E6" s="42" t="str">
        <f>IF(ISBLANK('Control Entry'!F24),"",'Control Entry'!F24)</f>
        <v>Grave:  Lt. Col. Joan Kennedy</v>
      </c>
      <c r="F6" s="42" t="str">
        <f>IF(ISBLANK('Control Entry'!I24),"",'Control Entry'!I24)</f>
        <v>From Armitage bench, 8 metres to right  at 90deg to road</v>
      </c>
      <c r="G6" s="10"/>
      <c r="H6" s="35" t="s">
        <v>29</v>
      </c>
      <c r="K6" s="16"/>
      <c r="L6" s="138" t="str">
        <f>IF(ISBLANK(Brevet_Description),"",Brevet_Description)</f>
        <v>CWAC1 to Fallen Leaves</v>
      </c>
      <c r="M6" s="138"/>
      <c r="N6" s="138"/>
      <c r="O6" s="138"/>
      <c r="P6" s="138"/>
      <c r="Q6" s="138"/>
      <c r="R6" s="138"/>
      <c r="S6" s="138"/>
      <c r="T6" s="138"/>
      <c r="U6" s="138"/>
    </row>
    <row r="7" spans="1:22" ht="36" customHeight="1" x14ac:dyDescent="0.2">
      <c r="A7" s="48">
        <f>IF(ISBLANK('Control Entry'!D24),"",'Control Entry'!D24)</f>
        <v>43.8</v>
      </c>
      <c r="B7" s="49">
        <f>'Control Entry'!N24</f>
        <v>44511.345138888886</v>
      </c>
      <c r="C7" s="49">
        <f>'Control Entry'!O24</f>
        <v>44511.413194444445</v>
      </c>
      <c r="D7" s="50" t="str">
        <f>IF(ISBLANK('Control Entry'!E24),"",'Control Entry'!E24)</f>
        <v>COLWOOD</v>
      </c>
      <c r="E7" s="42" t="str">
        <f>IF(ISBLANK('Control Entry'!G24),"",'Control Entry'!G24)</f>
        <v>Garden of Gesthemane</v>
      </c>
      <c r="F7" s="42" t="str">
        <f>IF(ISBLANK('Control Entry'!J24),"",'Control Entry'!J24)</f>
        <v/>
      </c>
      <c r="G7" s="10"/>
      <c r="H7" s="35" t="s">
        <v>29</v>
      </c>
    </row>
    <row r="8" spans="1:22" ht="36" customHeight="1" thickBot="1" x14ac:dyDescent="0.25">
      <c r="A8" s="43"/>
      <c r="B8" s="44">
        <f>'Control Entry'!N24</f>
        <v>44511.345138888886</v>
      </c>
      <c r="C8" s="44">
        <f>'Control Entry'!O24</f>
        <v>44511.413194444445</v>
      </c>
      <c r="D8" s="45"/>
      <c r="E8" s="46" t="str">
        <f>IF(ISBLANK('Control Entry'!H24),"",'Control Entry'!H24)</f>
        <v>Hatley Memorial Park</v>
      </c>
      <c r="F8" s="46" t="str">
        <f>IF(ISBLANK('Control Entry'!K24),"",'Control Entry'!K24)</f>
        <v>Last line on plaque?</v>
      </c>
      <c r="G8" s="11"/>
      <c r="H8" s="35" t="s">
        <v>29</v>
      </c>
      <c r="J8" s="17" t="s">
        <v>34</v>
      </c>
      <c r="L8" s="129"/>
      <c r="M8" s="129"/>
      <c r="N8" s="129"/>
      <c r="O8" s="129"/>
      <c r="P8" s="129"/>
      <c r="Q8" s="129"/>
      <c r="R8" s="36"/>
      <c r="S8" s="55" t="s">
        <v>47</v>
      </c>
      <c r="T8" s="122"/>
      <c r="U8" s="122"/>
    </row>
    <row r="9" spans="1:22" ht="36" customHeight="1" thickBot="1" x14ac:dyDescent="0.3">
      <c r="A9" s="39"/>
      <c r="B9" s="40">
        <f>'Control Entry'!N25</f>
        <v>44511.366666666661</v>
      </c>
      <c r="C9" s="40">
        <f>'Control Entry'!O25</f>
        <v>44511.461805555555</v>
      </c>
      <c r="D9" s="47"/>
      <c r="E9" s="42" t="str">
        <f>IF(ISBLANK('Control Entry'!F25),"",'Control Entry'!F25)</f>
        <v>Memorial: The Homecoming</v>
      </c>
      <c r="F9" s="42" t="str">
        <f>IF(ISBLANK('Control Entry'!I25),"",'Control Entry'!I25)</f>
        <v/>
      </c>
      <c r="G9" s="10"/>
      <c r="H9" s="35" t="s">
        <v>29</v>
      </c>
      <c r="J9" s="17" t="s">
        <v>35</v>
      </c>
      <c r="K9" s="17"/>
      <c r="L9" s="65" t="s">
        <v>55</v>
      </c>
      <c r="M9" s="23"/>
      <c r="N9" s="23"/>
      <c r="O9" s="23"/>
      <c r="P9" s="23"/>
      <c r="Q9" s="23"/>
      <c r="R9" s="23"/>
      <c r="S9" s="23"/>
      <c r="T9" s="23"/>
      <c r="U9" s="21"/>
    </row>
    <row r="10" spans="1:22" ht="36" customHeight="1" thickBot="1" x14ac:dyDescent="0.3">
      <c r="A10" s="48">
        <f>IF(ISBLANK('Control Entry'!D25),"",'Control Entry'!D25)</f>
        <v>61.2</v>
      </c>
      <c r="B10" s="49">
        <f>'Control Entry'!N25</f>
        <v>44511.366666666661</v>
      </c>
      <c r="C10" s="49">
        <f>'Control Entry'!O25</f>
        <v>44511.461805555555</v>
      </c>
      <c r="D10" s="50" t="str">
        <f>IF(ISBLANK('Control Entry'!E25),"",'Control Entry'!E25)</f>
        <v>VICTORIA</v>
      </c>
      <c r="E10" s="42" t="str">
        <f>IF(ISBLANK('Control Entry'!G25),"",'Control Entry'!G25)</f>
        <v>814 Wharf St</v>
      </c>
      <c r="F10" s="42" t="str">
        <f>IF(ISBLANK('Control Entry'!J25),"",'Control Entry'!J25)</f>
        <v/>
      </c>
      <c r="G10" s="10"/>
      <c r="H10" s="35" t="s">
        <v>29</v>
      </c>
      <c r="J10" s="17"/>
      <c r="K10" s="17"/>
      <c r="L10" s="37"/>
      <c r="M10" s="23"/>
      <c r="N10" s="23"/>
      <c r="O10" s="23"/>
      <c r="P10" s="23"/>
      <c r="Q10" s="23"/>
      <c r="R10" s="23"/>
      <c r="S10" s="23"/>
      <c r="T10" s="23"/>
      <c r="U10" s="21"/>
    </row>
    <row r="11" spans="1:22" ht="36" customHeight="1" thickBot="1" x14ac:dyDescent="0.3">
      <c r="A11" s="43"/>
      <c r="B11" s="44">
        <f>'Control Entry'!N25</f>
        <v>44511.366666666661</v>
      </c>
      <c r="C11" s="44">
        <f>'Control Entry'!O25</f>
        <v>44511.461805555555</v>
      </c>
      <c r="D11" s="45"/>
      <c r="E11" s="46" t="str">
        <f>IF(ISBLANK('Control Entry'!H25),"",'Control Entry'!H25)</f>
        <v>Water side granite marker</v>
      </c>
      <c r="F11" s="46" t="str">
        <f>IF(ISBLANK('Control Entry'!K25),"",'Control Entry'!K25)</f>
        <v>"Service to ________?"</v>
      </c>
      <c r="G11" s="11"/>
      <c r="H11" s="35" t="s">
        <v>29</v>
      </c>
      <c r="J11" s="17" t="s">
        <v>36</v>
      </c>
      <c r="K11" s="17"/>
      <c r="L11" s="37"/>
      <c r="M11" s="23"/>
      <c r="N11" s="23"/>
      <c r="O11" s="24"/>
      <c r="P11" s="24" t="s">
        <v>37</v>
      </c>
      <c r="Q11" s="24"/>
      <c r="R11" s="24"/>
      <c r="S11" s="57"/>
      <c r="T11" s="37"/>
      <c r="U11" s="21"/>
    </row>
    <row r="12" spans="1:22" ht="36" customHeight="1" thickBot="1" x14ac:dyDescent="0.3">
      <c r="A12" s="39"/>
      <c r="B12" s="40">
        <f>'Control Entry'!N26</f>
        <v>44511.384722222218</v>
      </c>
      <c r="C12" s="40">
        <f>'Control Entry'!O26</f>
        <v>44511.502083333333</v>
      </c>
      <c r="D12" s="47"/>
      <c r="E12" s="42" t="str">
        <f>IF(ISBLANK('Control Entry'!F26),"",'Control Entry'!F26)</f>
        <v>Hut 'A'</v>
      </c>
      <c r="F12" s="42" t="str">
        <f>IF(ISBLANK('Control Entry'!I26),"",'Control Entry'!I26)</f>
        <v>Door is on which side?</v>
      </c>
      <c r="G12" s="10"/>
      <c r="H12" s="35" t="s">
        <v>29</v>
      </c>
      <c r="J12" s="17" t="s">
        <v>38</v>
      </c>
      <c r="K12" s="17"/>
      <c r="L12" s="37"/>
      <c r="M12" s="23"/>
      <c r="N12" s="23"/>
      <c r="O12" s="24"/>
      <c r="P12" s="24" t="s">
        <v>39</v>
      </c>
      <c r="Q12" s="24"/>
      <c r="R12" s="24"/>
      <c r="S12" s="57"/>
      <c r="T12" s="37"/>
      <c r="U12" s="21"/>
    </row>
    <row r="13" spans="1:22" ht="36" customHeight="1" thickBot="1" x14ac:dyDescent="0.3">
      <c r="A13" s="48">
        <f>IF(ISBLANK('Control Entry'!D26),"",'Control Entry'!D26)</f>
        <v>75.8</v>
      </c>
      <c r="B13" s="49">
        <f>'Control Entry'!N26</f>
        <v>44511.384722222218</v>
      </c>
      <c r="C13" s="49">
        <f>'Control Entry'!O26</f>
        <v>44511.502083333333</v>
      </c>
      <c r="D13" s="50" t="str">
        <f>IF(ISBLANK('Control Entry'!E26),"",'Control Entry'!E26)</f>
        <v>VICTORIA</v>
      </c>
      <c r="E13" s="42" t="str">
        <f>IF(ISBLANK('Control Entry'!G26),"",'Control Entry'!G26)</f>
        <v>Alexander Rd</v>
      </c>
      <c r="F13" s="116" t="s">
        <v>119</v>
      </c>
      <c r="G13" s="10"/>
      <c r="H13" s="35" t="s">
        <v>29</v>
      </c>
      <c r="J13" s="17" t="s">
        <v>40</v>
      </c>
      <c r="L13" s="79"/>
      <c r="M13" s="80"/>
      <c r="N13" s="80"/>
      <c r="O13" s="25"/>
      <c r="P13" s="24" t="s">
        <v>41</v>
      </c>
      <c r="Q13" s="24"/>
      <c r="R13" s="38"/>
      <c r="S13" s="26"/>
      <c r="T13" s="26"/>
      <c r="U13" s="22"/>
    </row>
    <row r="14" spans="1:22" ht="36" customHeight="1" thickBot="1" x14ac:dyDescent="0.25">
      <c r="A14" s="43"/>
      <c r="B14" s="44">
        <f>'Control Entry'!N26</f>
        <v>44511.384722222218</v>
      </c>
      <c r="C14" s="44">
        <f>'Control Entry'!O26</f>
        <v>44511.502083333333</v>
      </c>
      <c r="D14" s="45"/>
      <c r="E14" s="46" t="str">
        <f>IF(ISBLANK('Control Entry'!H26),"",'Control Entry'!H26)</f>
        <v>UVIC</v>
      </c>
      <c r="F14" s="46" t="str">
        <f>IF(ISBLANK('Control Entry'!K26),"",'Control Entry'!K26)</f>
        <v/>
      </c>
      <c r="G14" s="11"/>
      <c r="H14" s="35" t="s">
        <v>29</v>
      </c>
    </row>
    <row r="15" spans="1:22" ht="36" customHeight="1" x14ac:dyDescent="0.2">
      <c r="A15" s="39"/>
      <c r="B15" s="40">
        <f>'Control Entry'!N27</f>
        <v>44511.420138888883</v>
      </c>
      <c r="C15" s="40">
        <f>'Control Entry'!O27</f>
        <v>44511.583333333328</v>
      </c>
      <c r="D15" s="47"/>
      <c r="E15" s="42" t="str">
        <f>IF(ISBLANK('Control Entry'!F27),"",'Control Entry'!F27)</f>
        <v>BC Aviation Museum</v>
      </c>
      <c r="F15" s="42" t="str">
        <f>IF(ISBLANK('Control Entry'!I27),"",'Control Entry'!I27)</f>
        <v>4th parking stall to right of gate</v>
      </c>
      <c r="G15" s="10"/>
      <c r="H15" s="35" t="s">
        <v>29</v>
      </c>
      <c r="J15" s="17"/>
      <c r="L15" s="137" t="s">
        <v>59</v>
      </c>
      <c r="M15" s="137"/>
      <c r="N15" s="137"/>
      <c r="O15" s="137"/>
      <c r="P15" s="137"/>
      <c r="Q15" s="137"/>
      <c r="R15" s="137"/>
      <c r="S15" s="137"/>
      <c r="T15" s="137"/>
      <c r="U15" s="137"/>
    </row>
    <row r="16" spans="1:22" ht="36" customHeight="1" thickBot="1" x14ac:dyDescent="0.25">
      <c r="A16" s="48">
        <f>IF(ISBLANK('Control Entry'!D27),"",'Control Entry'!D27)</f>
        <v>104.99999999999999</v>
      </c>
      <c r="B16" s="49">
        <f>'Control Entry'!N27</f>
        <v>44511.420138888883</v>
      </c>
      <c r="C16" s="49">
        <f>'Control Entry'!O27</f>
        <v>44511.583333333328</v>
      </c>
      <c r="D16" s="50" t="str">
        <f>IF(ISBLANK('Control Entry'!E27),"",'Control Entry'!E27)</f>
        <v>SIDNEY</v>
      </c>
      <c r="E16" s="42" t="str">
        <f>IF(ISBLANK('Control Entry'!G27),"",'Control Entry'!G27)</f>
        <v>1910 Norseman Rd</v>
      </c>
      <c r="F16" s="42" t="str">
        <f>IF(ISBLANK('Control Entry'!J27),"",'Control Entry'!J27)</f>
        <v/>
      </c>
      <c r="G16" s="10"/>
      <c r="H16" s="35" t="s">
        <v>29</v>
      </c>
      <c r="L16" s="74"/>
      <c r="M16" s="74"/>
      <c r="N16" s="74"/>
      <c r="O16" s="74"/>
      <c r="P16" s="74"/>
      <c r="Q16" s="75"/>
      <c r="R16" s="75"/>
      <c r="S16" s="75"/>
      <c r="T16" s="75"/>
      <c r="U16" s="75"/>
    </row>
    <row r="17" spans="1:22" ht="36" customHeight="1" thickBot="1" x14ac:dyDescent="0.25">
      <c r="A17" s="43"/>
      <c r="B17" s="44">
        <f>'Control Entry'!N27</f>
        <v>44511.420138888883</v>
      </c>
      <c r="C17" s="44">
        <f>'Control Entry'!O27</f>
        <v>44511.583333333328</v>
      </c>
      <c r="D17" s="45"/>
      <c r="E17" s="46" t="str">
        <f>IF(ISBLANK('Control Entry'!H27),"",'Control Entry'!H27)</f>
        <v>Victoria Airport</v>
      </c>
      <c r="F17" s="46" t="str">
        <f>IF(ISBLANK('Control Entry'!K27),"",'Control Entry'!K27)</f>
        <v>What covers back of memorial?</v>
      </c>
      <c r="G17" s="11"/>
      <c r="H17" s="35" t="s">
        <v>29</v>
      </c>
    </row>
    <row r="18" spans="1:22" ht="36" customHeight="1" x14ac:dyDescent="0.2">
      <c r="A18" s="39"/>
      <c r="B18" s="40">
        <f>'Control Entry'!N28</f>
        <v>44511.477777777778</v>
      </c>
      <c r="C18" s="40">
        <f>'Control Entry'!O28</f>
        <v>44511.712499999994</v>
      </c>
      <c r="D18" s="47"/>
      <c r="E18" s="42" t="str">
        <f>IF(ISBLANK('Control Entry'!F28),"",'Control Entry'!F28)</f>
        <v>Beagle Pub</v>
      </c>
      <c r="F18" s="42" t="str">
        <f>IF(ISBLANK('Control Entry'!I28),"",'Control Entry'!I28)</f>
        <v>What is colour of doors?</v>
      </c>
      <c r="G18" s="10"/>
      <c r="H18" s="35" t="s">
        <v>29</v>
      </c>
    </row>
    <row r="19" spans="1:22" ht="36" customHeight="1" x14ac:dyDescent="0.2">
      <c r="A19" s="48">
        <f>IF(ISBLANK('Control Entry'!D28),"",'Control Entry'!D28)</f>
        <v>151.60000000000002</v>
      </c>
      <c r="B19" s="49">
        <f>'Control Entry'!N28</f>
        <v>44511.477777777778</v>
      </c>
      <c r="C19" s="49">
        <f>'Control Entry'!O28</f>
        <v>44511.712499999994</v>
      </c>
      <c r="D19" s="50" t="str">
        <f>IF(ISBLANK('Control Entry'!E28),"",'Control Entry'!E28)</f>
        <v>VICTORIA</v>
      </c>
      <c r="E19" s="42" t="str">
        <f>IF(ISBLANK('Control Entry'!G28),"",'Control Entry'!G28)</f>
        <v>301 Cook St</v>
      </c>
      <c r="F19" s="42" t="str">
        <f>IF(ISBLANK('Control Entry'!J28),"",'Control Entry'!J28)</f>
        <v/>
      </c>
      <c r="G19" s="10"/>
      <c r="H19" s="35" t="s">
        <v>29</v>
      </c>
    </row>
    <row r="20" spans="1:22" ht="36" customHeight="1" thickBot="1" x14ac:dyDescent="0.25">
      <c r="A20" s="43"/>
      <c r="B20" s="44">
        <f>'Control Entry'!N28</f>
        <v>44511.477777777778</v>
      </c>
      <c r="C20" s="44">
        <f>'Control Entry'!O28</f>
        <v>44511.712499999994</v>
      </c>
      <c r="D20" s="45"/>
      <c r="E20" s="46" t="str">
        <f>IF(ISBLANK('Control Entry'!H28),"",'Control Entry'!H28)</f>
        <v/>
      </c>
      <c r="F20" s="46" t="str">
        <f>IF(ISBLANK('Control Entry'!K28),"",'Control Entry'!K28)</f>
        <v/>
      </c>
      <c r="G20" s="11"/>
      <c r="H20" s="35" t="s">
        <v>29</v>
      </c>
      <c r="J20" s="73" t="s">
        <v>45</v>
      </c>
      <c r="K20" s="73"/>
      <c r="L20" s="76"/>
      <c r="M20" s="76"/>
      <c r="N20" s="76"/>
      <c r="P20" s="24" t="s">
        <v>0</v>
      </c>
      <c r="Q20" s="24"/>
      <c r="S20" s="136">
        <f>'Control Entry'!B8</f>
        <v>0.29166666666666669</v>
      </c>
      <c r="T20" s="136"/>
      <c r="U20" s="136"/>
    </row>
    <row r="21" spans="1:22" ht="36" customHeight="1" x14ac:dyDescent="0.2">
      <c r="A21" s="39"/>
      <c r="B21" s="40">
        <f>'Control Entry'!N29</f>
        <v>44511.479166666664</v>
      </c>
      <c r="C21" s="40">
        <f>'Control Entry'!O29</f>
        <v>44511.71597222222</v>
      </c>
      <c r="D21" s="47"/>
      <c r="E21" s="42" t="str">
        <f>IF(ISBLANK('Control Entry'!F29),"",'Control Entry'!F29)</f>
        <v>BC Indians War Memorial</v>
      </c>
      <c r="F21" s="42" t="str">
        <f>IF(ISBLANK('Control Entry'!I29),"",'Control Entry'!I29)</f>
        <v/>
      </c>
      <c r="G21" s="10"/>
      <c r="H21" s="35" t="s">
        <v>29</v>
      </c>
      <c r="J21" s="73"/>
      <c r="K21" s="73"/>
      <c r="L21" s="71"/>
      <c r="M21" s="71"/>
      <c r="N21" s="71"/>
      <c r="P21" s="24"/>
      <c r="Q21" s="24"/>
      <c r="R21" s="29"/>
      <c r="S21" s="77"/>
      <c r="T21" s="77"/>
      <c r="U21" s="77"/>
      <c r="V21" s="36"/>
    </row>
    <row r="22" spans="1:22" ht="36" customHeight="1" thickBot="1" x14ac:dyDescent="0.25">
      <c r="A22" s="48">
        <f>IF(ISBLANK('Control Entry'!D29),"",'Control Entry'!D29)</f>
        <v>152.80000000000001</v>
      </c>
      <c r="B22" s="49">
        <f>'Control Entry'!N29</f>
        <v>44511.479166666664</v>
      </c>
      <c r="C22" s="49">
        <f>'Control Entry'!O29</f>
        <v>44511.71597222222</v>
      </c>
      <c r="D22" s="50" t="str">
        <f>IF(ISBLANK('Control Entry'!E29),"",'Control Entry'!E29)</f>
        <v>VICTORIA</v>
      </c>
      <c r="E22" s="42" t="str">
        <f>IF(ISBLANK('Control Entry'!G29),"",'Control Entry'!G29)</f>
        <v>Beacon Hill Park</v>
      </c>
      <c r="F22" s="42" t="str">
        <f>IF(ISBLANK('Control Entry'!J29),"",'Control Entry'!J29)</f>
        <v/>
      </c>
      <c r="G22" s="10"/>
      <c r="H22" s="35" t="s">
        <v>29</v>
      </c>
      <c r="J22" s="113" t="s">
        <v>46</v>
      </c>
      <c r="K22" s="113"/>
      <c r="L22" s="76"/>
      <c r="M22" s="76"/>
      <c r="N22" s="76"/>
      <c r="O22" s="25"/>
      <c r="P22" s="24" t="s">
        <v>1</v>
      </c>
      <c r="Q22" s="24"/>
      <c r="R22" s="25"/>
      <c r="S22" s="78"/>
      <c r="T22" s="78"/>
      <c r="U22" s="78"/>
    </row>
    <row r="23" spans="1:22" ht="36" customHeight="1" thickBot="1" x14ac:dyDescent="0.25">
      <c r="A23" s="43"/>
      <c r="B23" s="44">
        <f>'Control Entry'!N29</f>
        <v>44511.479166666664</v>
      </c>
      <c r="C23" s="44">
        <f>'Control Entry'!O29</f>
        <v>44511.71597222222</v>
      </c>
      <c r="D23" s="45"/>
      <c r="E23" s="46" t="str">
        <f>IF(ISBLANK('Control Entry'!H29),"",'Control Entry'!H29)</f>
        <v>Marker to right of bikeway</v>
      </c>
      <c r="F23" s="46" t="str">
        <f>IF(ISBLANK('Control Entry'!K29),"",'Control Entry'!K29)</f>
        <v>"BC Indian ___?___ and Welfare Society"</v>
      </c>
      <c r="G23" s="11"/>
      <c r="H23" s="35" t="s">
        <v>29</v>
      </c>
      <c r="J23" s="113"/>
      <c r="K23" s="113"/>
      <c r="L23" s="71"/>
      <c r="M23" s="71"/>
      <c r="N23" s="71"/>
      <c r="O23" s="29"/>
      <c r="P23" s="70"/>
      <c r="Q23" s="70"/>
      <c r="R23" s="29"/>
      <c r="S23" s="29"/>
      <c r="T23" s="29"/>
      <c r="U23" s="29"/>
      <c r="V23" s="36"/>
    </row>
    <row r="24" spans="1:22" ht="36" customHeight="1" thickBot="1" x14ac:dyDescent="0.25">
      <c r="A24" s="39"/>
      <c r="B24" s="40">
        <f>'Control Entry'!N30</f>
        <v>44511.540277777778</v>
      </c>
      <c r="C24" s="40">
        <f>'Control Entry'!O30</f>
        <v>44511.854166666664</v>
      </c>
      <c r="D24" s="47"/>
      <c r="E24" s="42" t="str">
        <f>IF(ISBLANK('Control Entry'!F30),"",'Control Entry'!F30)</f>
        <v>Blue Heron Park</v>
      </c>
      <c r="F24" s="42" t="str">
        <f>IF(ISBLANK('Control Entry'!I30),"",'Control Entry'!I30)</f>
        <v>Self Sign</v>
      </c>
      <c r="G24" s="10"/>
      <c r="H24" s="35" t="s">
        <v>29</v>
      </c>
      <c r="J24" s="18"/>
      <c r="K24" s="18"/>
      <c r="L24" s="18"/>
      <c r="M24" s="26"/>
      <c r="N24" s="26"/>
      <c r="O24" s="25"/>
      <c r="P24" s="24" t="s">
        <v>2</v>
      </c>
      <c r="Q24" s="24"/>
      <c r="R24" s="25"/>
      <c r="S24" s="26"/>
      <c r="T24" s="26"/>
      <c r="U24" s="26"/>
    </row>
    <row r="25" spans="1:22" ht="36" customHeight="1" x14ac:dyDescent="0.2">
      <c r="A25" s="48">
        <f>IF(ISBLANK('Control Entry'!D30),"",'Control Entry'!D30)</f>
        <v>202.5</v>
      </c>
      <c r="B25" s="49">
        <f>'Control Entry'!N30</f>
        <v>44511.540277777778</v>
      </c>
      <c r="C25" s="49">
        <f>'Control Entry'!O30</f>
        <v>44511.854166666664</v>
      </c>
      <c r="D25" s="50" t="str">
        <f>IF(ISBLANK('Control Entry'!E30),"",'Control Entry'!E30)</f>
        <v>NORTH SAANICH</v>
      </c>
      <c r="E25" s="42" t="str">
        <f>IF(ISBLANK('Control Entry'!G30),"",'Control Entry'!G30)</f>
        <v/>
      </c>
      <c r="F25" s="42" t="str">
        <f>IF(ISBLANK('Control Entry'!J30),"",'Control Entry'!J30)</f>
        <v/>
      </c>
      <c r="G25" s="10"/>
      <c r="H25" s="35" t="s">
        <v>29</v>
      </c>
      <c r="J25" s="134" t="s">
        <v>17</v>
      </c>
      <c r="K25" s="134"/>
      <c r="L25" s="134"/>
      <c r="M25" s="134"/>
      <c r="N25" s="134"/>
      <c r="O25" s="63"/>
      <c r="P25" s="124"/>
      <c r="Q25" s="124"/>
      <c r="R25" s="63"/>
      <c r="S25" s="125"/>
      <c r="T25" s="125"/>
      <c r="U25" s="125"/>
      <c r="V25" s="125"/>
    </row>
    <row r="26" spans="1:22" ht="36" customHeight="1" thickBot="1" x14ac:dyDescent="0.25">
      <c r="A26" s="43"/>
      <c r="B26" s="44">
        <f>'Control Entry'!N30</f>
        <v>44511.540277777778</v>
      </c>
      <c r="C26" s="44">
        <f>'Control Entry'!O30</f>
        <v>44511.854166666664</v>
      </c>
      <c r="D26" s="45"/>
      <c r="E26" s="46" t="str">
        <f>IF(ISBLANK('Control Entry'!H30),"",'Control Entry'!H30)</f>
        <v/>
      </c>
      <c r="F26" s="46" t="str">
        <f>IF(ISBLANK('Control Entry'!K30),"",'Control Entry'!K30)</f>
        <v/>
      </c>
      <c r="G26" s="11"/>
      <c r="H26" s="35" t="s">
        <v>29</v>
      </c>
    </row>
    <row r="27" spans="1:22" ht="36" customHeight="1" x14ac:dyDescent="0.2">
      <c r="A27" s="39"/>
      <c r="B27" s="40" t="str">
        <f>'Control Entry'!N31</f>
        <v/>
      </c>
      <c r="C27" s="40" t="str">
        <f>'Control Entry'!O31</f>
        <v/>
      </c>
      <c r="D27" s="47"/>
      <c r="E27" s="42" t="str">
        <f>IF(ISBLANK('Control Entry'!F31),"",'Control Entry'!F31)</f>
        <v/>
      </c>
      <c r="F27" s="42" t="str">
        <f>IF(ISBLANK('Control Entry'!I31),"",'Control Entry'!I31)</f>
        <v/>
      </c>
      <c r="G27" s="10"/>
      <c r="H27" s="35" t="s">
        <v>29</v>
      </c>
      <c r="K27" s="132" t="s">
        <v>57</v>
      </c>
      <c r="L27" s="124"/>
      <c r="M27" s="62" t="s">
        <v>58</v>
      </c>
      <c r="N27" s="124" t="s">
        <v>50</v>
      </c>
      <c r="O27" s="124"/>
      <c r="P27" s="124" t="s">
        <v>51</v>
      </c>
      <c r="Q27" s="124"/>
      <c r="R27" s="63" t="s">
        <v>52</v>
      </c>
      <c r="S27" s="125" t="s">
        <v>53</v>
      </c>
      <c r="T27" s="125"/>
      <c r="U27" s="125" t="s">
        <v>54</v>
      </c>
      <c r="V27" s="125"/>
    </row>
    <row r="28" spans="1:22" ht="36" customHeight="1" x14ac:dyDescent="0.2">
      <c r="A28" s="48" t="str">
        <f>IF(ISBLANK('Control Entry'!D31),"",'Control Entry'!D31)</f>
        <v/>
      </c>
      <c r="B28" s="49" t="str">
        <f>'Control Entry'!N31</f>
        <v/>
      </c>
      <c r="C28" s="49" t="str">
        <f>'Control Entry'!O31</f>
        <v/>
      </c>
      <c r="D28" s="50" t="str">
        <f>IF(ISBLANK('Control Entry'!E31),"",'Control Entry'!E31)</f>
        <v/>
      </c>
      <c r="E28" s="42" t="str">
        <f>IF(ISBLANK('Control Entry'!G31),"",'Control Entry'!G31)</f>
        <v/>
      </c>
      <c r="F28" s="42" t="str">
        <f>IF(ISBLANK('Control Entry'!J31),"",'Control Entry'!J31)</f>
        <v/>
      </c>
      <c r="G28" s="10"/>
      <c r="H28" s="35" t="s">
        <v>29</v>
      </c>
    </row>
    <row r="29" spans="1:22" ht="36" customHeight="1" thickBot="1" x14ac:dyDescent="0.25">
      <c r="A29" s="43"/>
      <c r="B29" s="44" t="str">
        <f>'Control Entry'!N31</f>
        <v/>
      </c>
      <c r="C29" s="44" t="str">
        <f>'Control Entry'!O31</f>
        <v/>
      </c>
      <c r="D29" s="45"/>
      <c r="E29" s="46" t="str">
        <f>IF(ISBLANK('Control Entry'!H31),"",'Control Entry'!H31)</f>
        <v/>
      </c>
      <c r="F29" s="46" t="str">
        <f>IF(ISBLANK('Control Entry'!K31),"",'Control Entry'!K31)</f>
        <v/>
      </c>
      <c r="G29" s="11"/>
      <c r="H29" s="35" t="s">
        <v>29</v>
      </c>
      <c r="M29" s="123" t="s">
        <v>42</v>
      </c>
      <c r="N29" s="123"/>
      <c r="O29" s="123"/>
      <c r="P29" s="123"/>
      <c r="Q29" s="123"/>
      <c r="R29" s="123"/>
      <c r="S29" s="123"/>
      <c r="T29" s="123"/>
      <c r="U29" s="68"/>
    </row>
    <row r="30" spans="1:22" ht="36" customHeight="1" x14ac:dyDescent="0.2">
      <c r="A30" s="39"/>
      <c r="B30" s="40" t="str">
        <f>'Control Entry'!N32</f>
        <v/>
      </c>
      <c r="C30" s="40" t="str">
        <f>'Control Entry'!O32</f>
        <v/>
      </c>
      <c r="D30" s="47"/>
      <c r="E30" s="42" t="str">
        <f>IF(ISBLANK('Control Entry'!F32),"",'Control Entry'!F32)</f>
        <v/>
      </c>
      <c r="F30" s="42" t="str">
        <f>IF(ISBLANK('Control Entry'!I32),"",'Control Entry'!I32)</f>
        <v/>
      </c>
      <c r="G30" s="10"/>
      <c r="H30" s="35" t="s">
        <v>29</v>
      </c>
      <c r="M30" s="19"/>
      <c r="N30" s="27"/>
      <c r="O30" s="27"/>
      <c r="P30" s="28"/>
      <c r="Q30" s="27"/>
      <c r="R30" s="27"/>
      <c r="S30" s="27"/>
      <c r="T30" s="28"/>
      <c r="U30" s="29"/>
    </row>
    <row r="31" spans="1:22" ht="36" customHeight="1" x14ac:dyDescent="0.2">
      <c r="A31" s="48" t="str">
        <f>IF(ISBLANK('Control Entry'!D32),"",'Control Entry'!D32)</f>
        <v/>
      </c>
      <c r="B31" s="49" t="str">
        <f>'Control Entry'!N32</f>
        <v/>
      </c>
      <c r="C31" s="49" t="str">
        <f>'Control Entry'!O32</f>
        <v/>
      </c>
      <c r="D31" s="50" t="str">
        <f>IF(ISBLANK('Control Entry'!E32),"",'Control Entry'!E32)</f>
        <v/>
      </c>
      <c r="E31" s="42" t="str">
        <f>IF(ISBLANK('Control Entry'!G32),"",'Control Entry'!G32)</f>
        <v/>
      </c>
      <c r="F31" s="42" t="str">
        <f>IF(ISBLANK('Control Entry'!J32),"",'Control Entry'!J32)</f>
        <v/>
      </c>
      <c r="G31" s="10"/>
      <c r="H31" s="35" t="s">
        <v>29</v>
      </c>
      <c r="M31" s="20"/>
      <c r="N31" s="29"/>
      <c r="O31" s="29"/>
      <c r="P31" s="30"/>
      <c r="Q31" s="29"/>
      <c r="R31" s="29"/>
      <c r="S31" s="29"/>
      <c r="T31" s="30"/>
      <c r="U31" s="29"/>
    </row>
    <row r="32" spans="1:22" ht="36" customHeight="1" thickBot="1" x14ac:dyDescent="0.25">
      <c r="A32" s="43"/>
      <c r="B32" s="44" t="str">
        <f>'Control Entry'!N32</f>
        <v/>
      </c>
      <c r="C32" s="44" t="str">
        <f>'Control Entry'!O32</f>
        <v/>
      </c>
      <c r="D32" s="45"/>
      <c r="E32" s="46" t="str">
        <f>IF(ISBLANK('Control Entry'!H32),"",'Control Entry'!H32)</f>
        <v/>
      </c>
      <c r="F32" s="46" t="str">
        <f>IF(ISBLANK('Control Entry'!K32),"",'Control Entry'!K32)</f>
        <v/>
      </c>
      <c r="G32" s="11"/>
      <c r="H32" s="35" t="s">
        <v>29</v>
      </c>
      <c r="M32" s="66"/>
      <c r="N32" s="26"/>
      <c r="O32" s="26"/>
      <c r="P32" s="31"/>
      <c r="Q32" s="26"/>
      <c r="R32" s="26"/>
      <c r="S32" s="26"/>
      <c r="T32" s="31"/>
      <c r="U32" s="29"/>
    </row>
    <row r="33" spans="1:22" ht="36" customHeight="1" x14ac:dyDescent="0.2">
      <c r="A33" s="131" t="s">
        <v>43</v>
      </c>
      <c r="B33" s="131"/>
      <c r="C33" s="131"/>
      <c r="D33" s="131"/>
      <c r="E33" s="131"/>
      <c r="F33" s="131"/>
      <c r="G33" s="131"/>
      <c r="H33" s="51"/>
      <c r="I33" s="51"/>
      <c r="N33" s="126"/>
      <c r="O33" s="126"/>
      <c r="P33" s="126"/>
      <c r="Q33" s="126"/>
      <c r="R33" s="126"/>
      <c r="S33" s="126"/>
      <c r="T33" s="126"/>
      <c r="U33" s="126"/>
      <c r="V33" s="71"/>
    </row>
    <row r="34" spans="1:22" ht="36" customHeight="1" x14ac:dyDescent="0.2">
      <c r="A34"/>
      <c r="O34" s="59"/>
      <c r="P34" s="59"/>
      <c r="Q34" s="59"/>
      <c r="R34" s="58"/>
    </row>
    <row r="35" spans="1:22" ht="36" customHeight="1" x14ac:dyDescent="0.2">
      <c r="A35"/>
      <c r="N35" s="123"/>
      <c r="O35" s="123"/>
      <c r="P35" s="123"/>
      <c r="Q35" s="123"/>
      <c r="R35" s="123"/>
      <c r="S35" s="123"/>
      <c r="T35" s="123"/>
      <c r="U35" s="123"/>
    </row>
    <row r="36" spans="1:22" ht="36" customHeight="1" x14ac:dyDescent="0.15">
      <c r="A36"/>
      <c r="N36" s="36"/>
      <c r="O36" s="29"/>
      <c r="P36" s="29"/>
      <c r="Q36" s="29"/>
      <c r="R36" s="29"/>
      <c r="S36" s="29"/>
      <c r="T36" s="29"/>
      <c r="U36" s="29"/>
    </row>
    <row r="37" spans="1:22" ht="36" customHeight="1" x14ac:dyDescent="0.15">
      <c r="A37"/>
      <c r="N37" s="36"/>
      <c r="O37" s="29"/>
      <c r="P37" s="29"/>
      <c r="Q37" s="29"/>
      <c r="R37" s="29"/>
      <c r="S37" s="29"/>
      <c r="T37" s="29"/>
      <c r="U37" s="29"/>
    </row>
    <row r="38" spans="1:22" ht="36" customHeight="1" x14ac:dyDescent="0.2">
      <c r="A38"/>
      <c r="N38" s="69"/>
      <c r="O38" s="29"/>
      <c r="P38" s="29"/>
      <c r="Q38" s="29"/>
      <c r="R38" s="29"/>
      <c r="S38" s="29"/>
      <c r="T38" s="29"/>
      <c r="U38" s="29"/>
    </row>
    <row r="39" spans="1:22" ht="36" customHeight="1" x14ac:dyDescent="0.15">
      <c r="A39"/>
    </row>
    <row r="40" spans="1:22" ht="36" customHeight="1" x14ac:dyDescent="0.15">
      <c r="A40"/>
    </row>
  </sheetData>
  <mergeCells count="24">
    <mergeCell ref="L6:U6"/>
    <mergeCell ref="T8:U8"/>
    <mergeCell ref="A1:G1"/>
    <mergeCell ref="K2:U2"/>
    <mergeCell ref="N3:S3"/>
    <mergeCell ref="M4:T4"/>
    <mergeCell ref="N5:O5"/>
    <mergeCell ref="R5:U5"/>
    <mergeCell ref="A33:G33"/>
    <mergeCell ref="N33:U33"/>
    <mergeCell ref="N35:U35"/>
    <mergeCell ref="L8:Q8"/>
    <mergeCell ref="M29:T29"/>
    <mergeCell ref="L15:U15"/>
    <mergeCell ref="S20:U20"/>
    <mergeCell ref="J25:N25"/>
    <mergeCell ref="P25:Q25"/>
    <mergeCell ref="S25:T25"/>
    <mergeCell ref="U25:V25"/>
    <mergeCell ref="K27:L27"/>
    <mergeCell ref="N27:O27"/>
    <mergeCell ref="P27:Q27"/>
    <mergeCell ref="S27:T27"/>
    <mergeCell ref="U27:V27"/>
  </mergeCells>
  <phoneticPr fontId="16" type="noConversion"/>
  <printOptions horizontalCentered="1" verticalCentered="1"/>
  <pageMargins left="0.2" right="0.2" top="0.2" bottom="0.2" header="0.51" footer="0.51"/>
  <pageSetup scale="45" orientation="landscape"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28</vt:i4>
      </vt:variant>
    </vt:vector>
  </HeadingPairs>
  <TitlesOfParts>
    <vt:vector size="31" baseType="lpstr">
      <vt:lpstr>Control Entry</vt:lpstr>
      <vt:lpstr>Control Card Victoria Start</vt:lpstr>
      <vt:lpstr>Control Card North Saanic Start</vt:lpstr>
      <vt:lpstr>brevet</vt:lpstr>
      <vt:lpstr>Brevet_Description</vt:lpstr>
      <vt:lpstr>Brevet_Length</vt:lpstr>
      <vt:lpstr>Brevet_Number</vt:lpstr>
      <vt:lpstr>Close</vt:lpstr>
      <vt:lpstr>Close_time</vt:lpstr>
      <vt:lpstr>Control_1</vt:lpstr>
      <vt:lpstr>Control_10</vt:lpstr>
      <vt:lpstr>Control_2</vt:lpstr>
      <vt:lpstr>Control_3</vt:lpstr>
      <vt:lpstr>Control_4</vt:lpstr>
      <vt:lpstr>Control_5</vt:lpstr>
      <vt:lpstr>Control_6</vt:lpstr>
      <vt:lpstr>Control_7</vt:lpstr>
      <vt:lpstr>Control_8</vt:lpstr>
      <vt:lpstr>Control_9</vt:lpstr>
      <vt:lpstr>Distance</vt:lpstr>
      <vt:lpstr>Establishment_1</vt:lpstr>
      <vt:lpstr>Establishment_2</vt:lpstr>
      <vt:lpstr>Establishment_3</vt:lpstr>
      <vt:lpstr>Locale</vt:lpstr>
      <vt:lpstr>Max_time</vt:lpstr>
      <vt:lpstr>Open</vt:lpstr>
      <vt:lpstr>Open_time</vt:lpstr>
      <vt:lpstr>'Control Card North Saanic Start'!Print_Titles</vt:lpstr>
      <vt:lpstr>'Control Card Victoria Start'!Print_Titles</vt:lpstr>
      <vt:lpstr>Start_date</vt:lpstr>
      <vt:lpstr>Start_time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Hinde</dc:creator>
  <cp:lastModifiedBy>Stephen Hinde</cp:lastModifiedBy>
  <cp:lastPrinted>2021-10-25T22:22:52Z</cp:lastPrinted>
  <dcterms:created xsi:type="dcterms:W3CDTF">1997-11-12T04:43:39Z</dcterms:created>
  <dcterms:modified xsi:type="dcterms:W3CDTF">2021-11-07T20:35:39Z</dcterms:modified>
</cp:coreProperties>
</file>