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08"/>
  <workbookPr showInkAnnotation="0" autoCompressPictures="0"/>
  <mc:AlternateContent xmlns:mc="http://schemas.openxmlformats.org/markup-compatibility/2006">
    <mc:Choice Requires="x15">
      <x15ac:absPath xmlns:x15ac="http://schemas.microsoft.com/office/spreadsheetml/2010/11/ac" url="/Users/ehossack/Sync/Cycling/Randonneur/Events/LM600-2 BAPAPAB/"/>
    </mc:Choice>
  </mc:AlternateContent>
  <xr:revisionPtr revIDLastSave="0" documentId="13_ncr:1_{A89A2DED-C11B-304A-A421-63B2C45FFA51}" xr6:coauthVersionLast="47" xr6:coauthVersionMax="47" xr10:uidLastSave="{00000000-0000-0000-0000-000000000000}"/>
  <bookViews>
    <workbookView xWindow="13420" yWindow="500" windowWidth="38680" windowHeight="25680" tabRatio="509" activeTab="1" xr2:uid="{00000000-000D-0000-FFFF-FFFF00000000}"/>
  </bookViews>
  <sheets>
    <sheet name="Control Entry" sheetId="1" r:id="rId1"/>
    <sheet name="Control Card #1" sheetId="2" r:id="rId2"/>
    <sheet name="Control Card #2" sheetId="3" r:id="rId3"/>
  </sheets>
  <definedNames>
    <definedName name="Address_1" localSheetId="2">#REF!</definedName>
    <definedName name="Address_1">#REF!</definedName>
    <definedName name="Address_2" localSheetId="2">#REF!</definedName>
    <definedName name="Address_2">#REF!</definedName>
    <definedName name="brevet">'Control Entry'!$C$1</definedName>
    <definedName name="Brevet_Description">'Control Entry'!$B$3</definedName>
    <definedName name="Brevet_Length">'Control Entry'!$B$1</definedName>
    <definedName name="Brevet_Number">'Control Entry'!$B$4</definedName>
    <definedName name="City" localSheetId="2">#REF!</definedName>
    <definedName name="City">#REF!</definedName>
    <definedName name="Close">'Control Entry'!$M$10:$M$19</definedName>
    <definedName name="Close_time">'Control Entry'!$O$10:$O$19</definedName>
    <definedName name="Control_1">'Control Entry'!$D$10:$O$10</definedName>
    <definedName name="Control_10">'Control Entry'!$D$19:$O$19</definedName>
    <definedName name="Control_11" localSheetId="2">'Control Entry'!#REF!</definedName>
    <definedName name="Control_11">'Control Entry'!#REF!</definedName>
    <definedName name="Control_12" localSheetId="2">'Control Entry'!#REF!</definedName>
    <definedName name="Control_12">'Control Entry'!#REF!</definedName>
    <definedName name="Control_13" localSheetId="2">'Control Entry'!#REF!</definedName>
    <definedName name="Control_13">'Control Entry'!#REF!</definedName>
    <definedName name="Control_14" localSheetId="2">'Control Entry'!#REF!</definedName>
    <definedName name="Control_14">'Control Entry'!#REF!</definedName>
    <definedName name="Control_15" localSheetId="2">'Control Entry'!#REF!</definedName>
    <definedName name="Control_15">'Control Entry'!#REF!</definedName>
    <definedName name="Control_16" localSheetId="2">'Control Entry'!#REF!</definedName>
    <definedName name="Control_16">'Control Entry'!#REF!</definedName>
    <definedName name="Control_17" localSheetId="2">'Control Entry'!#REF!</definedName>
    <definedName name="Control_17">'Control Entry'!#REF!</definedName>
    <definedName name="Control_18" localSheetId="2">'Control Entry'!#REF!</definedName>
    <definedName name="Control_18">'Control Entry'!#REF!</definedName>
    <definedName name="Control_19" localSheetId="2">'Control Entry'!#REF!</definedName>
    <definedName name="Control_19">'Control Entry'!#REF!</definedName>
    <definedName name="Control_2">'Control Entry'!$D$11:$O$11</definedName>
    <definedName name="Control_20" localSheetId="2">'Control Entry'!#REF!</definedName>
    <definedName name="Control_20">'Control Entry'!#REF!</definedName>
    <definedName name="Control_3">'Control Entry'!$D$12:$O$12</definedName>
    <definedName name="Control_4">'Control Entry'!$D$13:$O$13</definedName>
    <definedName name="Control_5">'Control Entry'!$D$14:$O$14</definedName>
    <definedName name="Control_6">'Control Entry'!$D$15:$O$15</definedName>
    <definedName name="Control_7">'Control Entry'!$D$16:$O$16</definedName>
    <definedName name="Control_8">'Control Entry'!$D$17:$O$17</definedName>
    <definedName name="Control_9">'Control Entry'!$D$18:$O$18</definedName>
    <definedName name="Country" localSheetId="2">#REF!</definedName>
    <definedName name="Country">#REF!</definedName>
    <definedName name="Distance">'Control Entry'!$D$10:$D$19</definedName>
    <definedName name="email" localSheetId="2">#REF!</definedName>
    <definedName name="email">#REF!</definedName>
    <definedName name="Establishment_1">'Control Entry'!$F$10:$F$19</definedName>
    <definedName name="Establishment_2">'Control Entry'!$G$10:$G$19</definedName>
    <definedName name="Establishment_3">'Control Entry'!$H$10:$H$19</definedName>
    <definedName name="Fax" localSheetId="2">#REF!</definedName>
    <definedName name="Fax">#REF!</definedName>
    <definedName name="First_Name" localSheetId="2">#REF!</definedName>
    <definedName name="First_Name">#REF!</definedName>
    <definedName name="Home_telephone" localSheetId="2">#REF!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#REF!</definedName>
    <definedName name="Locale">'Control Entry'!$E$10:$E$19</definedName>
    <definedName name="Max_time">'Control Entry'!$B$2</definedName>
    <definedName name="Open">'Control Entry'!$L$10:$L$19</definedName>
    <definedName name="Open_time">'Control Entry'!$N$10:$N$19</definedName>
    <definedName name="Postal_Code" localSheetId="2">#REF!</definedName>
    <definedName name="Postal_Code">#REF!</definedName>
    <definedName name="_xlnm.Print_Titles" localSheetId="1">'Control Card #1'!$1:$2</definedName>
    <definedName name="_xlnm.Print_Titles" localSheetId="2">'Control Card #2'!$1:$2</definedName>
    <definedName name="Province_State" localSheetId="2">#REF!</definedName>
    <definedName name="Province_State">#REF!</definedName>
    <definedName name="Start_date">'Control Entry'!$B$7</definedName>
    <definedName name="Start_time">'Control Entry'!$B$8</definedName>
    <definedName name="surname" localSheetId="2">#REF!</definedName>
    <definedName name="surname">#REF!</definedName>
    <definedName name="Work_telephone" localSheetId="2">#REF!</definedName>
    <definedName name="Work_telephon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2" l="1"/>
  <c r="M23" i="1"/>
  <c r="E7" i="3"/>
  <c r="E8" i="3"/>
  <c r="E5" i="3"/>
  <c r="F5" i="2"/>
  <c r="T8" i="3"/>
  <c r="L8" i="3"/>
  <c r="S3" i="2"/>
  <c r="F32" i="2"/>
  <c r="F31" i="2"/>
  <c r="F30" i="2"/>
  <c r="F29" i="2"/>
  <c r="F28" i="2"/>
  <c r="F27" i="2"/>
  <c r="F26" i="2"/>
  <c r="F25" i="2"/>
  <c r="F24" i="2"/>
  <c r="F23" i="2"/>
  <c r="F22" i="2"/>
  <c r="F21" i="2"/>
  <c r="F20" i="2"/>
  <c r="F19" i="2"/>
  <c r="F18" i="2"/>
  <c r="F17" i="2"/>
  <c r="F16" i="2"/>
  <c r="F15" i="2"/>
  <c r="F14" i="2"/>
  <c r="F13" i="2"/>
  <c r="F12" i="2"/>
  <c r="F11" i="2"/>
  <c r="F10" i="2"/>
  <c r="F9" i="2"/>
  <c r="F8" i="2"/>
  <c r="F7" i="2"/>
  <c r="F6" i="2"/>
  <c r="F4" i="2"/>
  <c r="F3" i="2"/>
  <c r="L10" i="1"/>
  <c r="N10" i="1"/>
  <c r="B3" i="2" s="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L24" i="1"/>
  <c r="M24" i="1"/>
  <c r="L25" i="1"/>
  <c r="M25" i="1"/>
  <c r="L26" i="1"/>
  <c r="M26" i="1"/>
  <c r="L27" i="1"/>
  <c r="M27" i="1"/>
  <c r="L28" i="1"/>
  <c r="M28" i="1"/>
  <c r="L29" i="1"/>
  <c r="M29" i="1"/>
  <c r="L30" i="1"/>
  <c r="M30" i="1"/>
  <c r="L31" i="1"/>
  <c r="M31" i="1"/>
  <c r="L32" i="1"/>
  <c r="M32" i="1"/>
  <c r="L23" i="1"/>
  <c r="C1" i="1"/>
  <c r="M4" i="3" s="1"/>
  <c r="E4" i="3"/>
  <c r="E3" i="3"/>
  <c r="D31" i="3"/>
  <c r="D28" i="3"/>
  <c r="D25" i="3"/>
  <c r="D22" i="3"/>
  <c r="D19" i="3"/>
  <c r="D16" i="3"/>
  <c r="D13" i="3"/>
  <c r="D10" i="3"/>
  <c r="D7" i="3"/>
  <c r="D4" i="3"/>
  <c r="A31" i="3"/>
  <c r="A28" i="3"/>
  <c r="A25" i="3"/>
  <c r="A22" i="3"/>
  <c r="A19" i="3"/>
  <c r="A16" i="3"/>
  <c r="A13" i="3"/>
  <c r="A10" i="3"/>
  <c r="A7" i="3"/>
  <c r="A4" i="3"/>
  <c r="M19" i="1"/>
  <c r="L19" i="1"/>
  <c r="M18" i="1"/>
  <c r="L18" i="1"/>
  <c r="M17" i="1"/>
  <c r="L17" i="1"/>
  <c r="M16" i="1"/>
  <c r="L16" i="1"/>
  <c r="M15" i="1"/>
  <c r="L15" i="1"/>
  <c r="M14" i="1"/>
  <c r="L14" i="1"/>
  <c r="M13" i="1"/>
  <c r="L13" i="1"/>
  <c r="M12" i="1"/>
  <c r="L12" i="1"/>
  <c r="M11" i="1"/>
  <c r="L11" i="1"/>
  <c r="L6" i="3"/>
  <c r="R5" i="3"/>
  <c r="P5" i="3"/>
  <c r="L6" i="2"/>
  <c r="S20" i="2"/>
  <c r="R5" i="2"/>
  <c r="P5" i="2"/>
  <c r="A7" i="2"/>
  <c r="E32" i="2"/>
  <c r="E31" i="2"/>
  <c r="E30" i="2"/>
  <c r="E29" i="2"/>
  <c r="E28" i="2"/>
  <c r="E27" i="2"/>
  <c r="E26" i="2"/>
  <c r="E25" i="2"/>
  <c r="E24" i="2"/>
  <c r="E23" i="2"/>
  <c r="E22" i="2"/>
  <c r="E21" i="2"/>
  <c r="E20" i="2"/>
  <c r="E19" i="2"/>
  <c r="E18" i="2"/>
  <c r="E17" i="2"/>
  <c r="E16" i="2"/>
  <c r="E15" i="2"/>
  <c r="E14" i="2"/>
  <c r="E13" i="2"/>
  <c r="E12" i="2"/>
  <c r="E11" i="2"/>
  <c r="E10" i="2"/>
  <c r="E8" i="2"/>
  <c r="E7" i="2"/>
  <c r="E6" i="2"/>
  <c r="E5" i="2"/>
  <c r="E4" i="2"/>
  <c r="E3" i="2"/>
  <c r="D25" i="2"/>
  <c r="D28" i="2"/>
  <c r="D31" i="2"/>
  <c r="A31" i="2"/>
  <c r="A4" i="2"/>
  <c r="D19" i="2"/>
  <c r="D16" i="2"/>
  <c r="D13" i="2"/>
  <c r="D10" i="2"/>
  <c r="D7" i="2"/>
  <c r="D4" i="2"/>
  <c r="D22" i="2"/>
  <c r="A28" i="2"/>
  <c r="A25" i="2"/>
  <c r="A22" i="2"/>
  <c r="A19" i="2"/>
  <c r="A10" i="2"/>
  <c r="A16" i="2"/>
  <c r="A13" i="2"/>
  <c r="O23" i="1"/>
  <c r="C3" i="3" s="1"/>
  <c r="N31" i="1"/>
  <c r="B29" i="3" s="1"/>
  <c r="N29" i="1"/>
  <c r="B23" i="3" s="1"/>
  <c r="N27" i="1"/>
  <c r="B17" i="3" s="1"/>
  <c r="N25" i="1"/>
  <c r="B9" i="3" s="1"/>
  <c r="O32" i="1"/>
  <c r="C30" i="3" s="1"/>
  <c r="O30" i="1"/>
  <c r="C24" i="3" s="1"/>
  <c r="O28" i="1"/>
  <c r="C19" i="3" s="1"/>
  <c r="O26" i="1"/>
  <c r="C13" i="3" s="1"/>
  <c r="O24" i="1"/>
  <c r="C6" i="3" s="1"/>
  <c r="N32" i="1"/>
  <c r="B30" i="3" s="1"/>
  <c r="N28" i="1"/>
  <c r="B20" i="3" s="1"/>
  <c r="N24" i="1"/>
  <c r="B8" i="3" s="1"/>
  <c r="N26" i="1"/>
  <c r="B14" i="3" s="1"/>
  <c r="N23" i="1"/>
  <c r="B5" i="3" s="1"/>
  <c r="O31" i="1"/>
  <c r="C27" i="3" s="1"/>
  <c r="O29" i="1"/>
  <c r="C21" i="3" s="1"/>
  <c r="O27" i="1"/>
  <c r="C15" i="3" s="1"/>
  <c r="O25" i="1"/>
  <c r="C9" i="3" s="1"/>
  <c r="N30" i="1"/>
  <c r="B25" i="3" s="1"/>
  <c r="O19" i="1"/>
  <c r="C32" i="2" s="1"/>
  <c r="N18" i="1"/>
  <c r="B27" i="2" s="1"/>
  <c r="M10" i="1"/>
  <c r="O10" i="1" s="1"/>
  <c r="M4" i="2"/>
  <c r="B2" i="1"/>
  <c r="C5" i="3" l="1"/>
  <c r="B4" i="3"/>
  <c r="C25" i="3"/>
  <c r="O11" i="1"/>
  <c r="C8" i="2" s="1"/>
  <c r="O15" i="1"/>
  <c r="C20" i="2" s="1"/>
  <c r="O12" i="1"/>
  <c r="C11" i="2" s="1"/>
  <c r="N16" i="1"/>
  <c r="B23" i="2" s="1"/>
  <c r="N15" i="1"/>
  <c r="B19" i="2" s="1"/>
  <c r="O16" i="1"/>
  <c r="C21" i="2" s="1"/>
  <c r="O17" i="1"/>
  <c r="C24" i="2" s="1"/>
  <c r="N17" i="1"/>
  <c r="B24" i="2" s="1"/>
  <c r="O13" i="1"/>
  <c r="C14" i="2" s="1"/>
  <c r="N13" i="1"/>
  <c r="B13" i="2" s="1"/>
  <c r="O18" i="1"/>
  <c r="C27" i="2" s="1"/>
  <c r="C32" i="3"/>
  <c r="N19" i="1"/>
  <c r="B31" i="2" s="1"/>
  <c r="C26" i="3"/>
  <c r="B10" i="3"/>
  <c r="B6" i="3"/>
  <c r="B7" i="3"/>
  <c r="O14" i="1"/>
  <c r="C15" i="2" s="1"/>
  <c r="C14" i="3"/>
  <c r="N14" i="1"/>
  <c r="B15" i="2" s="1"/>
  <c r="C4" i="3"/>
  <c r="N11" i="1"/>
  <c r="B8" i="2" s="1"/>
  <c r="N12" i="1"/>
  <c r="B9" i="2" s="1"/>
  <c r="B16" i="3"/>
  <c r="B15" i="3"/>
  <c r="B24" i="3"/>
  <c r="B18" i="3"/>
  <c r="C30" i="2"/>
  <c r="B19" i="3"/>
  <c r="C31" i="3"/>
  <c r="C12" i="3"/>
  <c r="B5" i="2"/>
  <c r="B4" i="2"/>
  <c r="C22" i="3"/>
  <c r="C7" i="3"/>
  <c r="B28" i="3"/>
  <c r="C23" i="3"/>
  <c r="C8" i="3"/>
  <c r="B12" i="3"/>
  <c r="B29" i="2"/>
  <c r="C31" i="2"/>
  <c r="C28" i="3"/>
  <c r="C29" i="3"/>
  <c r="B3" i="3"/>
  <c r="B28" i="2"/>
  <c r="B13" i="3"/>
  <c r="B22" i="3"/>
  <c r="C20" i="3"/>
  <c r="B32" i="3"/>
  <c r="B21" i="3"/>
  <c r="B11" i="3"/>
  <c r="C10" i="3"/>
  <c r="C17" i="3"/>
  <c r="C16" i="3"/>
  <c r="C11" i="3"/>
  <c r="B27" i="3"/>
  <c r="C3" i="2"/>
  <c r="C4" i="2"/>
  <c r="C5" i="2"/>
  <c r="B31" i="3"/>
  <c r="B26" i="3"/>
  <c r="C18" i="3"/>
  <c r="C6" i="2" l="1"/>
  <c r="C18" i="2"/>
  <c r="C28" i="2"/>
  <c r="C10" i="2"/>
  <c r="C29" i="2"/>
  <c r="C19" i="2"/>
  <c r="B20" i="2"/>
  <c r="B21" i="2"/>
  <c r="C9" i="2"/>
  <c r="C7" i="2"/>
  <c r="C23" i="2"/>
  <c r="C22" i="2"/>
  <c r="C26" i="2"/>
  <c r="C25" i="2"/>
  <c r="B22" i="2"/>
  <c r="B25" i="2"/>
  <c r="B14" i="2"/>
  <c r="B12" i="2"/>
  <c r="B18" i="2"/>
  <c r="B26" i="2"/>
  <c r="C12" i="2"/>
  <c r="C13" i="2"/>
  <c r="B32" i="2"/>
  <c r="B30" i="2"/>
  <c r="B10" i="2"/>
  <c r="C17" i="2"/>
  <c r="B11" i="2"/>
  <c r="B6" i="2"/>
  <c r="B17" i="2"/>
  <c r="B7" i="2"/>
  <c r="B16" i="2"/>
  <c r="C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1"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2" authorId="1" shapeId="0" xr:uid="{00000000-0006-0000-0000-000002000000}">
      <text>
        <r>
          <rPr>
            <sz val="8"/>
            <color rgb="FF000000"/>
            <rFont val="Tahoma"/>
            <family val="2"/>
          </rPr>
          <t>Partial result of closing time calculation to avoid limitation of only 7 nested functions</t>
        </r>
      </text>
    </comment>
    <comment ref="B4"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5"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7" authorId="0" shapeId="0" xr:uid="{00000000-0006-0000-0000-000005000000}">
      <text>
        <r>
          <rPr>
            <b/>
            <sz val="10"/>
            <color rgb="FF000000"/>
            <rFont val="Tahoma"/>
            <family val="2"/>
          </rPr>
          <t>Stephen Hinde:</t>
        </r>
        <r>
          <rPr>
            <sz val="10"/>
            <color rgb="FF000000"/>
            <rFont val="Tahoma"/>
            <family val="2"/>
          </rPr>
          <t xml:space="preserve">
</t>
        </r>
        <r>
          <rPr>
            <sz val="10"/>
            <color rgb="FF000000"/>
            <rFont val="Tahoma"/>
            <family val="2"/>
          </rPr>
          <t xml:space="preserve">Actual date
</t>
        </r>
        <r>
          <rPr>
            <sz val="10"/>
            <color rgb="FF000000"/>
            <rFont val="Tahoma"/>
            <family val="2"/>
          </rPr>
          <t xml:space="preserve">
</t>
        </r>
        <r>
          <rPr>
            <sz val="10"/>
            <color rgb="FF000000"/>
            <rFont val="Tahoma"/>
            <family val="2"/>
          </rPr>
          <t>Recommend using Schedule date</t>
        </r>
      </text>
    </comment>
  </commentList>
</comments>
</file>

<file path=xl/sharedStrings.xml><?xml version="1.0" encoding="utf-8"?>
<sst xmlns="http://schemas.openxmlformats.org/spreadsheetml/2006/main" count="215" uniqueCount="118">
  <si>
    <t>Start time</t>
  </si>
  <si>
    <t>Finish time</t>
  </si>
  <si>
    <t>Elapsed time</t>
  </si>
  <si>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</si>
  <si>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</si>
  <si>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</si>
  <si>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</si>
  <si>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</si>
  <si>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</si>
  <si>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</si>
  <si>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</si>
  <si>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</si>
  <si>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</si>
  <si>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</si>
  <si>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</si>
  <si>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</si>
  <si>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</si>
  <si>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</si>
  <si>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</si>
  <si>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</si>
  <si>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</si>
  <si>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</si>
  <si>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</si>
  <si>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</si>
  <si>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</si>
  <si>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</si>
  <si>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</si>
  <si>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</si>
  <si>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</si>
  <si>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t>
  </si>
  <si>
    <t>DIST (km)</t>
  </si>
  <si>
    <t>Establishment</t>
  </si>
  <si>
    <t>Time of Passage</t>
  </si>
  <si>
    <t>Control Card</t>
  </si>
  <si>
    <t>Name</t>
  </si>
  <si>
    <t>Address</t>
  </si>
  <si>
    <t>City</t>
  </si>
  <si>
    <t>Province/State</t>
  </si>
  <si>
    <t>Country</t>
  </si>
  <si>
    <t>Postal Code</t>
  </si>
  <si>
    <t>Telephone</t>
  </si>
  <si>
    <t>email</t>
  </si>
  <si>
    <t>Randonneur Committee Authorization</t>
  </si>
  <si>
    <t>Report results or abandonment through registration email link</t>
  </si>
  <si>
    <r>
      <t xml:space="preserve">Please </t>
    </r>
    <r>
      <rPr>
        <b/>
        <i/>
        <sz val="16"/>
        <rFont val="Arial"/>
        <family val="2"/>
      </rPr>
      <t>answer questions</t>
    </r>
    <r>
      <rPr>
        <i/>
        <sz val="16"/>
        <rFont val="Arial"/>
        <family val="2"/>
      </rPr>
      <t xml:space="preserve"> and</t>
    </r>
    <r>
      <rPr>
        <b/>
        <i/>
        <sz val="16"/>
        <rFont val="Arial"/>
        <family val="2"/>
      </rPr>
      <t xml:space="preserve"> note time of day</t>
    </r>
  </si>
  <si>
    <t>Start Date</t>
  </si>
  <si>
    <t>Finish Date</t>
  </si>
  <si>
    <t>Member #</t>
  </si>
  <si>
    <t xml:space="preserve">Brevet No. </t>
  </si>
  <si>
    <t>Schedule date:</t>
  </si>
  <si>
    <t>Single</t>
  </si>
  <si>
    <t>Tandem</t>
  </si>
  <si>
    <t>Fixed</t>
  </si>
  <si>
    <t>Recumbent</t>
  </si>
  <si>
    <t>Velomobile</t>
  </si>
  <si>
    <t>(only add if change needed to database)</t>
  </si>
  <si>
    <t>Founding member of LES RANDONNEURS MONDIAUX (1983)</t>
  </si>
  <si>
    <t>Bicycle Type
Circle one</t>
  </si>
  <si>
    <t>-------&gt;</t>
  </si>
  <si>
    <t>Ride Day Emergency Contact</t>
  </si>
  <si>
    <t>Signature/Answer</t>
  </si>
  <si>
    <t>Control Card #1</t>
  </si>
  <si>
    <t>Control Card #2</t>
  </si>
  <si>
    <t>Complete ride details on Card #1</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</si>
  <si>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</si>
  <si>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</si>
  <si>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</si>
  <si>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</si>
  <si>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</si>
  <si>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</si>
  <si>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</si>
  <si>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</si>
  <si>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</si>
  <si>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Enter the start date.  This will always be the same as the schedule date, unless a ride window has been enabled.</t>
  </si>
  <si>
    <t>Enter the start time.  This will always be the official ACP listed start time found on the event page, unless a ride window has been enabled.</t>
  </si>
  <si>
    <t>Fill in the control distance.  The opening and closing times will be automatically calculated based on the start time and the brevet distance.  If you need more than 10 controls, use card #2, otherwise leave that section blank.</t>
  </si>
  <si>
    <t>Fill in the Locale (city) for each control.  Establishment 1, 2, and 3 can be used to describe the control itself eg Locale Hope  Est.1 Dairy Queen Est.2 817 Water Ave Est. 3 (leaft blank)</t>
  </si>
  <si>
    <t>When using information controls, you can put your question in the Signature/Answer section eg Sig/Ans.1 Sign on main door  Sig/Ans. 2  This week's special is?  Sig/Ans. 3 ________________</t>
  </si>
  <si>
    <t>Control Card #1 Information Control Question (optional)</t>
  </si>
  <si>
    <t>Note:  Control Card #1 will only show '#1' if a distance is entered into the first distance box for Control Card #2</t>
  </si>
  <si>
    <t>Control Card #2 Information Control Question (optional)</t>
  </si>
  <si>
    <t>BAPAPAB</t>
  </si>
  <si>
    <t>Vancouver</t>
  </si>
  <si>
    <t>Squamish</t>
  </si>
  <si>
    <t>North Vancouver</t>
  </si>
  <si>
    <t>Harrison</t>
  </si>
  <si>
    <t>Hope</t>
  </si>
  <si>
    <t>Othello Peers Crk</t>
  </si>
  <si>
    <t>Breka Café</t>
  </si>
  <si>
    <t>Chilliwack</t>
  </si>
  <si>
    <t>Fort Langley</t>
  </si>
  <si>
    <t>Langley</t>
  </si>
  <si>
    <t>Campbell Valley Park</t>
  </si>
  <si>
    <t>Allard Cres</t>
  </si>
  <si>
    <t>Fire Hydrant</t>
  </si>
  <si>
    <t>Government Rd @ Depot Rd</t>
  </si>
  <si>
    <t>4.5 IN-175 ____ ?</t>
  </si>
  <si>
    <t>Lilooet @ Eagle St</t>
  </si>
  <si>
    <t>Words on the Fire Hydrant</t>
  </si>
  <si>
    <t>___ and _______ ?</t>
  </si>
  <si>
    <t>sticker on back of road hazard sign on right</t>
  </si>
  <si>
    <t>_____ ___ __</t>
  </si>
  <si>
    <t>Knight Rd @ Bike Rt</t>
  </si>
  <si>
    <t>How many zipties on back of the</t>
  </si>
  <si>
    <t>"no motorized vehicles" sign?</t>
  </si>
  <si>
    <t>272nd St @ River Rd</t>
  </si>
  <si>
    <t>Number on the POLE (not sign) on back of</t>
  </si>
  <si>
    <t>street signpost</t>
  </si>
  <si>
    <t>top sign on post to right of gate</t>
  </si>
  <si>
    <t>____ must be ____</t>
  </si>
  <si>
    <t>What animal is on the fort-to-fort</t>
  </si>
  <si>
    <t>trail sign?</t>
  </si>
  <si>
    <t>Signature (and also sign your control card!)</t>
  </si>
  <si>
    <t>&lt;ride window&gt;</t>
  </si>
  <si>
    <t>Arborlynn Dr @ Lynn Valley Link Route</t>
  </si>
  <si>
    <t>_________n ?</t>
  </si>
  <si>
    <t>Last word on bottom right of link route sign</t>
  </si>
  <si>
    <t>What is the right side window 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</si>
</sst>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2"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20"/>
      <color theme="0" tint="-0.14999847407452621"/>
      <name val="Impact"/>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12"/>
      <name val="Arial Narrow"/>
      <family val="2"/>
    </font>
    <font>
      <sz val="10"/>
      <color rgb="FF000000"/>
      <name val="Helvetica Neue"/>
      <family val="2"/>
    </font>
  </fonts>
  <fills count="3">
    <fill>
      <patternFill patternType="none"/>
    </fill>
    <fill>
      <patternFill patternType="gray125"/>
    </fill>
    <fill>
      <patternFill patternType="solid">
        <fgColor indexed="22"/>
        <bgColor indexed="64"/>
      </patternFill>
    </fill>
  </fills>
  <borders count="28">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s>
  <cellStyleXfs count="342">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5"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35">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7" fillId="0" borderId="16" xfId="0" applyFont="1" applyBorder="1" applyAlignment="1">
      <alignment horizontal="center" wrapText="1"/>
    </xf>
    <xf numFmtId="0" fontId="7" fillId="0" borderId="7" xfId="0" applyFont="1" applyBorder="1"/>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8" xfId="0" applyBorder="1"/>
    <xf numFmtId="0" fontId="0" fillId="0" borderId="19" xfId="0" applyBorder="1"/>
    <xf numFmtId="0" fontId="0" fillId="0" borderId="6" xfId="0" applyBorder="1"/>
    <xf numFmtId="0" fontId="10" fillId="0" borderId="18" xfId="0" applyFont="1" applyBorder="1" applyProtection="1">
      <protection locked="0"/>
    </xf>
    <xf numFmtId="0" fontId="0" fillId="0" borderId="18" xfId="0" applyBorder="1" applyProtection="1">
      <protection locked="0"/>
    </xf>
    <xf numFmtId="0" fontId="10" fillId="0" borderId="18" xfId="0" applyFont="1" applyBorder="1" applyProtection="1"/>
    <xf numFmtId="0" fontId="10" fillId="0" borderId="0" xfId="0" applyFont="1" applyProtection="1"/>
    <xf numFmtId="0" fontId="0" fillId="0" borderId="0" xfId="0" applyProtection="1"/>
    <xf numFmtId="0" fontId="0" fillId="0" borderId="18" xfId="0" applyBorder="1" applyProtection="1"/>
    <xf numFmtId="0" fontId="0" fillId="0" borderId="20" xfId="0" applyBorder="1" applyProtection="1"/>
    <xf numFmtId="0" fontId="0" fillId="0" borderId="21" xfId="0" applyBorder="1" applyProtection="1"/>
    <xf numFmtId="0" fontId="0" fillId="0" borderId="0" xfId="0" applyBorder="1" applyProtection="1"/>
    <xf numFmtId="0" fontId="0" fillId="0" borderId="17" xfId="0" applyBorder="1" applyProtection="1"/>
    <xf numFmtId="0" fontId="0" fillId="0" borderId="8"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0" fontId="8" fillId="0" borderId="18" xfId="0" applyFont="1" applyBorder="1" applyProtection="1"/>
    <xf numFmtId="0" fontId="12" fillId="0" borderId="18" xfId="0" applyFont="1" applyBorder="1" applyProtection="1"/>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Border="1" applyAlignment="1" applyProtection="1">
      <alignment horizontal="right"/>
    </xf>
    <xf numFmtId="0" fontId="0" fillId="2" borderId="25" xfId="0" applyFill="1" applyBorder="1" applyAlignment="1">
      <alignment horizontal="right"/>
    </xf>
    <xf numFmtId="0" fontId="10" fillId="0" borderId="5" xfId="0" applyFont="1" applyBorder="1" applyProtection="1"/>
    <xf numFmtId="0" fontId="10" fillId="0" borderId="0" xfId="0" applyFont="1" applyBorder="1" applyAlignment="1" applyProtection="1">
      <alignment horizontal="left"/>
    </xf>
    <xf numFmtId="0" fontId="10" fillId="0" borderId="0" xfId="0" applyFont="1" applyAlignment="1" applyProtection="1"/>
    <xf numFmtId="0" fontId="5" fillId="2" borderId="3" xfId="0" applyFont="1" applyFill="1" applyBorder="1" applyAlignment="1">
      <alignment horizontal="right"/>
    </xf>
    <xf numFmtId="168" fontId="10" fillId="0" borderId="0" xfId="0" applyNumberFormat="1" applyFont="1" applyBorder="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167" fontId="0" fillId="0" borderId="26" xfId="0" applyNumberFormat="1" applyBorder="1" applyProtection="1">
      <protection locked="0"/>
    </xf>
    <xf numFmtId="0" fontId="24" fillId="0" borderId="18" xfId="0" applyFont="1" applyBorder="1" applyProtection="1"/>
    <xf numFmtId="0" fontId="10" fillId="0" borderId="22" xfId="0" applyFont="1" applyBorder="1"/>
    <xf numFmtId="0" fontId="14" fillId="0" borderId="16" xfId="0" applyFont="1" applyBorder="1" applyAlignment="1">
      <alignment horizontal="center" vertical="top" wrapText="1"/>
    </xf>
    <xf numFmtId="0" fontId="6" fillId="0" borderId="0" xfId="0" applyFont="1" applyBorder="1" applyAlignment="1" applyProtection="1">
      <alignment wrapText="1"/>
    </xf>
    <xf numFmtId="0" fontId="10" fillId="0" borderId="0" xfId="0" applyFont="1" applyBorder="1"/>
    <xf numFmtId="0" fontId="10" fillId="0" borderId="0" xfId="0" applyFont="1" applyBorder="1" applyProtection="1"/>
    <xf numFmtId="168" fontId="10" fillId="0" borderId="0" xfId="0" applyNumberFormat="1"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7" fillId="0" borderId="18" xfId="0" applyFont="1" applyFill="1" applyBorder="1" applyAlignment="1">
      <alignment horizontal="center" wrapText="1"/>
    </xf>
    <xf numFmtId="169" fontId="7" fillId="0" borderId="18" xfId="0" applyNumberFormat="1" applyFont="1" applyFill="1" applyBorder="1" applyAlignment="1">
      <alignment horizontal="left" wrapText="1"/>
    </xf>
    <xf numFmtId="168" fontId="10" fillId="0" borderId="18" xfId="0" applyNumberFormat="1" applyFont="1" applyBorder="1" applyAlignment="1">
      <alignment horizontal="center"/>
    </xf>
    <xf numFmtId="18" fontId="23" fillId="0" borderId="0" xfId="0" applyNumberFormat="1" applyFont="1" applyBorder="1" applyAlignment="1">
      <alignment horizontal="center" wrapText="1"/>
    </xf>
    <xf numFmtId="0" fontId="0" fillId="0" borderId="18" xfId="0" applyBorder="1" applyAlignment="1" applyProtection="1">
      <alignment horizontal="left"/>
    </xf>
    <xf numFmtId="169" fontId="12" fillId="0" borderId="18" xfId="0" applyNumberFormat="1" applyFont="1" applyBorder="1" applyAlignment="1" applyProtection="1">
      <alignment horizontal="center"/>
    </xf>
    <xf numFmtId="169" fontId="10" fillId="0" borderId="18" xfId="0" applyNumberFormat="1" applyFont="1" applyBorder="1" applyAlignment="1" applyProtection="1">
      <alignment horizontal="center"/>
    </xf>
    <xf numFmtId="0" fontId="10" fillId="0" borderId="0" xfId="0" applyNumberFormat="1" applyFont="1" applyBorder="1" applyAlignment="1" applyProtection="1">
      <alignment horizontal="left" vertical="center"/>
    </xf>
    <xf numFmtId="169" fontId="10" fillId="0" borderId="0" xfId="0" applyNumberFormat="1" applyFont="1" applyBorder="1" applyAlignment="1" applyProtection="1">
      <alignment horizontal="left" vertical="center"/>
    </xf>
    <xf numFmtId="0" fontId="9" fillId="0" borderId="0" xfId="0" applyFont="1" applyBorder="1" applyAlignment="1">
      <alignment horizontal="center" wrapText="1"/>
    </xf>
    <xf numFmtId="0" fontId="28" fillId="2" borderId="12" xfId="0" applyFont="1" applyFill="1" applyBorder="1"/>
    <xf numFmtId="0" fontId="28"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0" fontId="13" fillId="0" borderId="5" xfId="0" applyFont="1" applyBorder="1" applyAlignment="1"/>
    <xf numFmtId="0" fontId="13" fillId="0" borderId="10" xfId="0" applyFont="1" applyBorder="1" applyAlignment="1"/>
    <xf numFmtId="0" fontId="29" fillId="0" borderId="0" xfId="0" applyFont="1"/>
    <xf numFmtId="0" fontId="0"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14" fillId="0" borderId="7" xfId="0" applyFont="1" applyBorder="1" applyAlignment="1">
      <alignment horizontal="center" wrapText="1"/>
    </xf>
    <xf numFmtId="15" fontId="30" fillId="0" borderId="4" xfId="0" applyNumberFormat="1" applyFont="1" applyBorder="1" applyProtection="1">
      <protection locked="0"/>
    </xf>
    <xf numFmtId="1" fontId="30" fillId="0" borderId="4" xfId="0" applyNumberFormat="1" applyFont="1" applyBorder="1" applyProtection="1">
      <protection locked="0"/>
    </xf>
    <xf numFmtId="0" fontId="30" fillId="0" borderId="9" xfId="0" applyFont="1" applyBorder="1" applyAlignment="1"/>
    <xf numFmtId="20" fontId="30" fillId="0" borderId="8" xfId="0" applyNumberFormat="1" applyFont="1" applyBorder="1" applyProtection="1">
      <protection locked="0"/>
    </xf>
    <xf numFmtId="49" fontId="30" fillId="0" borderId="14" xfId="0" applyNumberFormat="1" applyFont="1" applyBorder="1" applyAlignment="1" applyProtection="1">
      <alignment horizontal="center"/>
      <protection locked="0"/>
    </xf>
    <xf numFmtId="49" fontId="30" fillId="0" borderId="4" xfId="0" applyNumberFormat="1" applyFont="1" applyBorder="1" applyAlignment="1" applyProtection="1">
      <alignment horizontal="center"/>
      <protection locked="0"/>
    </xf>
    <xf numFmtId="0" fontId="28" fillId="0" borderId="27" xfId="0" applyFont="1" applyBorder="1" applyProtection="1">
      <protection locked="0"/>
    </xf>
    <xf numFmtId="49" fontId="28" fillId="0" borderId="27" xfId="0" applyNumberFormat="1" applyFont="1" applyBorder="1" applyAlignment="1" applyProtection="1">
      <alignment horizontal="center"/>
      <protection locked="0"/>
    </xf>
    <xf numFmtId="49" fontId="28" fillId="0" borderId="24" xfId="0" applyNumberFormat="1" applyFont="1" applyBorder="1" applyAlignment="1" applyProtection="1">
      <alignment horizontal="center"/>
      <protection locked="0"/>
    </xf>
    <xf numFmtId="0" fontId="29" fillId="0" borderId="0" xfId="0" applyFont="1" applyAlignment="1">
      <alignment horizontal="right"/>
    </xf>
    <xf numFmtId="0" fontId="0" fillId="2" borderId="9" xfId="0"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168" fontId="10" fillId="0" borderId="0" xfId="0" applyNumberFormat="1" applyFont="1" applyBorder="1" applyAlignment="1">
      <alignment horizontal="left" vertical="center"/>
    </xf>
    <xf numFmtId="0" fontId="0" fillId="0" borderId="0" xfId="0" applyAlignment="1">
      <alignment horizontal="left" vertical="top"/>
    </xf>
    <xf numFmtId="0" fontId="10" fillId="0" borderId="18" xfId="0" applyFont="1" applyBorder="1" applyAlignment="1" applyProtection="1">
      <alignment horizontal="left"/>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pplyProtection="1">
      <alignment horizontal="right" vertical="center"/>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10" fillId="0" borderId="18" xfId="0" applyFont="1" applyBorder="1"/>
    <xf numFmtId="0" fontId="6" fillId="0" borderId="0" xfId="0" applyFont="1" applyBorder="1" applyAlignment="1" applyProtection="1">
      <alignment horizontal="center" wrapText="1"/>
    </xf>
    <xf numFmtId="0" fontId="6" fillId="0" borderId="0" xfId="0" applyFont="1" applyBorder="1" applyAlignment="1" applyProtection="1">
      <alignment horizontal="center" vertical="top" wrapText="1"/>
    </xf>
    <xf numFmtId="0" fontId="10" fillId="0" borderId="18" xfId="0" applyFont="1" applyBorder="1" applyAlignment="1">
      <alignment horizontal="center"/>
    </xf>
    <xf numFmtId="0" fontId="10" fillId="0" borderId="0" xfId="0" applyFont="1" applyAlignment="1">
      <alignment horizontal="center"/>
    </xf>
    <xf numFmtId="0" fontId="0" fillId="0" borderId="18" xfId="0" applyBorder="1" applyAlignment="1">
      <alignment horizontal="center"/>
    </xf>
    <xf numFmtId="14" fontId="30" fillId="0" borderId="23" xfId="0" applyNumberFormat="1" applyFont="1" applyBorder="1" applyProtection="1">
      <protection locked="0"/>
    </xf>
    <xf numFmtId="0" fontId="31" fillId="0" borderId="0" xfId="0" applyFont="1"/>
  </cellXfs>
  <cellStyles count="34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Normal" xfId="0" builtinId="0"/>
    <cellStyle name="Normal 2" xfId="282" xr:uid="{00000000-0005-0000-0000-000050010000}"/>
    <cellStyle name="Normal 3" xfId="283" xr:uid="{00000000-0005-0000-0000-000051010000}"/>
    <cellStyle name="Normal 3 2" xfId="285" xr:uid="{00000000-0005-0000-0000-000052010000}"/>
    <cellStyle name="Normal 3 2 2" xfId="286" xr:uid="{00000000-0005-0000-0000-000053010000}"/>
    <cellStyle name="Normal 3 2 3" xfId="287" xr:uid="{00000000-0005-0000-0000-000054010000}"/>
    <cellStyle name="Normal 4" xfId="284" xr:uid="{00000000-0005-0000-0000-000055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
  <sheetViews>
    <sheetView showGridLines="0" zoomScale="135" zoomScaleNormal="135" zoomScalePageLayoutView="135" workbookViewId="0">
      <selection activeCell="G11" sqref="G11"/>
    </sheetView>
  </sheetViews>
  <sheetFormatPr baseColWidth="10" defaultColWidth="8.83203125" defaultRowHeight="13" x14ac:dyDescent="0.15"/>
  <cols>
    <col min="1" max="1" width="16.5" style="2" customWidth="1"/>
    <col min="2" max="2" width="9.83203125" bestFit="1" customWidth="1"/>
    <col min="3" max="3" width="0" style="3" hidden="1" customWidth="1"/>
    <col min="4" max="4" width="8.33203125" customWidth="1"/>
    <col min="5" max="5" width="17" bestFit="1" customWidth="1"/>
    <col min="6" max="6" width="18" bestFit="1" customWidth="1"/>
    <col min="7" max="7" width="22.1640625" bestFit="1" customWidth="1"/>
    <col min="8" max="8" width="25.1640625" bestFit="1" customWidth="1"/>
    <col min="9" max="11" width="31.1640625" customWidth="1"/>
    <col min="12" max="12" width="17.33203125" hidden="1" customWidth="1"/>
    <col min="13" max="15" width="17.83203125" hidden="1" customWidth="1"/>
  </cols>
  <sheetData>
    <row r="1" spans="1:23" ht="18" x14ac:dyDescent="0.2">
      <c r="A1" s="13" t="s">
        <v>18</v>
      </c>
      <c r="B1" s="90">
        <v>600</v>
      </c>
      <c r="C1">
        <f>IF(Brevet_Length&gt;=1200,Brevet_Length,IF(Brevet_Length&gt;=1000,1000,IF(Brevet_Length&gt;=600,600,IF(Brevet_Length&gt;=400,400,IF(Brevet_Length&gt;=300,300,IF(Brevet_Length&gt;=200,200,100))))))</f>
        <v>600</v>
      </c>
      <c r="J1" s="109" t="s">
        <v>67</v>
      </c>
      <c r="K1" s="109"/>
      <c r="Q1" s="93" t="s">
        <v>68</v>
      </c>
      <c r="R1" s="93"/>
      <c r="S1" s="93"/>
      <c r="T1" s="93"/>
      <c r="U1" s="93"/>
      <c r="V1" s="93"/>
      <c r="W1" s="93"/>
    </row>
    <row r="2" spans="1:23" ht="14" thickBot="1" x14ac:dyDescent="0.2">
      <c r="A2" s="14" t="s">
        <v>19</v>
      </c>
      <c r="B2" s="15">
        <f>IF(brevet=1200,90,IF(brevet=1000,75,IF(brevet=600,40,IF(brevet=400,27,IF(brevet=300,20,IF(brevet=200,13.5,IF(brevet=100,7,0)))))))</f>
        <v>40</v>
      </c>
      <c r="Q2" t="s">
        <v>69</v>
      </c>
    </row>
    <row r="3" spans="1:23" ht="19" thickBot="1" x14ac:dyDescent="0.25">
      <c r="A3" s="14" t="s">
        <v>20</v>
      </c>
      <c r="B3" s="102" t="s">
        <v>81</v>
      </c>
      <c r="C3" s="91"/>
      <c r="D3" s="91"/>
      <c r="E3" s="91"/>
      <c r="F3" s="91"/>
      <c r="G3" s="91"/>
      <c r="H3" s="92"/>
      <c r="I3" s="35"/>
      <c r="J3" s="35"/>
      <c r="K3" s="35"/>
      <c r="O3" s="36"/>
      <c r="P3" s="36"/>
      <c r="Q3" s="93" t="s">
        <v>70</v>
      </c>
    </row>
    <row r="4" spans="1:23" ht="16" x14ac:dyDescent="0.2">
      <c r="A4" s="14" t="s">
        <v>21</v>
      </c>
      <c r="B4" s="101">
        <v>5087</v>
      </c>
      <c r="C4" s="32"/>
      <c r="F4" s="33"/>
      <c r="G4" s="33"/>
      <c r="H4" s="33"/>
      <c r="I4" s="33"/>
      <c r="J4" s="33"/>
      <c r="K4" s="33"/>
      <c r="Q4" s="93" t="s">
        <v>71</v>
      </c>
    </row>
    <row r="5" spans="1:23" ht="16" x14ac:dyDescent="0.2">
      <c r="A5" s="60" t="s">
        <v>49</v>
      </c>
      <c r="B5" s="100" t="s">
        <v>113</v>
      </c>
      <c r="Q5" s="93" t="s">
        <v>72</v>
      </c>
    </row>
    <row r="6" spans="1:23" ht="6" customHeight="1" x14ac:dyDescent="0.15"/>
    <row r="7" spans="1:23" ht="17" thickBot="1" x14ac:dyDescent="0.25">
      <c r="A7" s="56" t="s">
        <v>22</v>
      </c>
      <c r="B7" s="133">
        <v>44437</v>
      </c>
      <c r="Q7" s="93" t="s">
        <v>73</v>
      </c>
    </row>
    <row r="8" spans="1:23" ht="17" thickBot="1" x14ac:dyDescent="0.25">
      <c r="A8" s="12" t="s">
        <v>23</v>
      </c>
      <c r="B8" s="103">
        <v>0.25</v>
      </c>
      <c r="D8" s="110" t="s">
        <v>61</v>
      </c>
      <c r="E8" s="111"/>
      <c r="F8" s="111"/>
      <c r="G8" s="111"/>
      <c r="H8" s="111"/>
      <c r="I8" s="110" t="s">
        <v>78</v>
      </c>
      <c r="J8" s="111"/>
      <c r="K8" s="112"/>
      <c r="Q8" s="93" t="s">
        <v>74</v>
      </c>
    </row>
    <row r="9" spans="1:23" ht="14" thickBot="1" x14ac:dyDescent="0.2">
      <c r="D9" s="6" t="s">
        <v>24</v>
      </c>
      <c r="E9" s="7" t="s">
        <v>25</v>
      </c>
      <c r="F9" s="84" t="s">
        <v>26</v>
      </c>
      <c r="G9" s="84" t="s">
        <v>27</v>
      </c>
      <c r="H9" s="85" t="s">
        <v>28</v>
      </c>
      <c r="I9" s="7" t="s">
        <v>64</v>
      </c>
      <c r="J9" s="7" t="s">
        <v>65</v>
      </c>
      <c r="K9" s="8" t="s">
        <v>66</v>
      </c>
      <c r="L9" t="s">
        <v>3</v>
      </c>
      <c r="M9" t="s">
        <v>4</v>
      </c>
      <c r="N9" t="s">
        <v>5</v>
      </c>
      <c r="O9" t="s">
        <v>6</v>
      </c>
      <c r="Q9" s="93" t="s">
        <v>75</v>
      </c>
    </row>
    <row r="10" spans="1:23" ht="17" customHeight="1" x14ac:dyDescent="0.2">
      <c r="C10" s="3" t="s">
        <v>7</v>
      </c>
      <c r="D10" s="34">
        <v>0</v>
      </c>
      <c r="E10" s="96" t="s">
        <v>82</v>
      </c>
      <c r="F10" s="97" t="s">
        <v>88</v>
      </c>
      <c r="G10" s="97"/>
      <c r="H10" s="98" t="s">
        <v>117</v>
      </c>
      <c r="I10" s="104"/>
      <c r="J10" s="104"/>
      <c r="K10" s="105"/>
      <c r="L10" s="4">
        <f>Start_date+Start_time</f>
        <v>44437.25</v>
      </c>
      <c r="M10" s="4">
        <f>L10+"1:00"</f>
        <v>44437.291666666664</v>
      </c>
      <c r="N10" s="5">
        <f>IF(ISBLANK(Distance),"",Open Control_1)</f>
        <v>44437.25</v>
      </c>
      <c r="O10" s="5">
        <f>IF(ISBLANK(Distance),"",Close Control_1)</f>
        <v>44437.291666666664</v>
      </c>
      <c r="Q10" s="93" t="s">
        <v>76</v>
      </c>
    </row>
    <row r="11" spans="1:23" ht="17" customHeight="1" x14ac:dyDescent="0.2">
      <c r="C11" s="3" t="s">
        <v>8</v>
      </c>
      <c r="D11" s="34">
        <v>79.2</v>
      </c>
      <c r="E11" s="96" t="s">
        <v>83</v>
      </c>
      <c r="F11" s="97" t="s">
        <v>95</v>
      </c>
      <c r="G11" s="97" t="s">
        <v>94</v>
      </c>
      <c r="H11" s="98" t="s">
        <v>96</v>
      </c>
      <c r="I11" s="104"/>
      <c r="J11" s="104"/>
      <c r="K11" s="105"/>
      <c r="L11">
        <f>IF(ISBLANK(Distance),"",IF(Distance&gt;1000,(Distance-1000)/26+33.0847,(IF(Distance&gt;600,(Distance-600)/28+18.799,(IF(Distance&gt;400,(Distance-400)/30+12.1324,(IF(Distance&gt;200,(Distance-200)/32+5.8824,Distance/34))))))))</f>
        <v>2.3294117647058825</v>
      </c>
      <c r="M11">
        <f>IF(ISBLANK(Distance),"",IF(Distance&gt;=brevet,IF(brevet&gt;1200,(brevet-1200)*75/1000+90,Max_time),IF(Distance&gt;1200,(Distance-1200)*75/1000+90,IF(Distance&gt;1000,(Distance-1000)/(1000/75)+75,IF(Distance&gt;600,(Distance-600)/(400/35)+40,Distance/15)))))</f>
        <v>5.28</v>
      </c>
      <c r="N11" s="5">
        <f>IF(ISBLANK(Distance),"",Open_time Control_1+(INT(Open)&amp;":"&amp;IF(ROUND(((Open-INT(Open))*60),0)&lt;10,0,"")&amp;ROUND(((Open-INT(Open))*60),0)))</f>
        <v>44437.347222222219</v>
      </c>
      <c r="O11" s="5">
        <f>IF(ISBLANK(Distance),"",Open_time Control_1+(INT(Close)&amp;":"&amp;IF(ROUND(((Close-INT(Close))*60),0)&lt;10,0,"")&amp;ROUND(((Close-INT(Close))*60),0)))</f>
        <v>44437.470138888886</v>
      </c>
      <c r="Q11" s="93" t="s">
        <v>77</v>
      </c>
    </row>
    <row r="12" spans="1:23" ht="17" customHeight="1" x14ac:dyDescent="0.2">
      <c r="C12" s="3" t="s">
        <v>9</v>
      </c>
      <c r="D12" s="34">
        <v>154.5</v>
      </c>
      <c r="E12" s="96" t="s">
        <v>84</v>
      </c>
      <c r="F12" s="97" t="s">
        <v>114</v>
      </c>
      <c r="G12" s="134" t="s">
        <v>116</v>
      </c>
      <c r="H12" s="98" t="s">
        <v>115</v>
      </c>
      <c r="I12" s="104"/>
      <c r="J12" s="104"/>
      <c r="K12" s="105"/>
      <c r="L12">
        <f>IF(ISBLANK(Distance),"",IF(Distance&gt;1000,(Distance-1000)/26+33.0847,(IF(Distance&gt;600,(Distance-600)/28+18.799,(IF(Distance&gt;400,(Distance-400)/30+12.1324,(IF(Distance&gt;200,(Distance-200)/32+5.8824,Distance/34))))))))</f>
        <v>4.5441176470588234</v>
      </c>
      <c r="M12">
        <f t="shared" ref="M12:M19" si="0">IF(ISBLANK(Distance),"",IF(Distance&gt;=brevet,IF(brevet&gt;1200,(brevet-1200)*75/1000+90,Max_time),IF(Distance&gt;1200,(Distance-1200)*75/1000+90,IF(Distance&gt;1000,(Distance-1000)/(1000/75)+75,IF(Distance&gt;600,(Distance-600)/(400/35)+40,Distance/15)))))</f>
        <v>10.3</v>
      </c>
      <c r="N12" s="5">
        <f>IF(ISBLANK(Distance),"",Open_time Control_1+(INT(Open)&amp;":"&amp;IF(ROUND(((Open-INT(Open))*60),0)&lt;10,0,"")&amp;ROUND(((Open-INT(Open))*60),0)))</f>
        <v>44437.439583333333</v>
      </c>
      <c r="O12" s="5">
        <f>IF(ISBLANK(Distance),"",Open_time Control_1+(INT(Close)&amp;":"&amp;IF(ROUND(((Close-INT(Close))*60),0)&lt;10,0,"")&amp;ROUND(((Close-INT(Close))*60),0)))</f>
        <v>44437.679166666669</v>
      </c>
    </row>
    <row r="13" spans="1:23" ht="17" customHeight="1" x14ac:dyDescent="0.2">
      <c r="C13" s="3" t="s">
        <v>10</v>
      </c>
      <c r="D13" s="34">
        <v>291.8</v>
      </c>
      <c r="E13" s="96" t="s">
        <v>85</v>
      </c>
      <c r="F13" s="97" t="s">
        <v>97</v>
      </c>
      <c r="G13" s="97" t="s">
        <v>98</v>
      </c>
      <c r="H13" s="98" t="s">
        <v>99</v>
      </c>
      <c r="I13" s="104"/>
      <c r="J13" s="104"/>
      <c r="K13" s="105"/>
      <c r="L13">
        <f t="shared" ref="L13:L19" si="1">IF(ISBLANK(Distance),"",IF(Distance&gt;1000,(Distance-1000)/26+33.0847,(IF(Distance&gt;600,(Distance-600)/28+18.799,(IF(Distance&gt;400,(Distance-400)/30+12.1324,(IF(Distance&gt;200,(Distance-200)/32+5.8824,Distance/34))))))))</f>
        <v>8.7511499999999991</v>
      </c>
      <c r="M13">
        <f t="shared" si="0"/>
        <v>19.453333333333333</v>
      </c>
      <c r="N13" s="5">
        <f>IF(ISBLANK(Distance),"",Open_time Control_1+(INT(Open)&amp;":"&amp;IF(ROUND(((Open-INT(Open))*60),0)&lt;10,0,"")&amp;ROUND(((Open-INT(Open))*60),0)))</f>
        <v>44437.614583333336</v>
      </c>
      <c r="O13" s="5">
        <f>IF(ISBLANK(Distance),"",Open_time Control_1+(INT(Close)&amp;":"&amp;IF(ROUND(((Close-INT(Close))*60),0)&lt;10,0,"")&amp;ROUND(((Close-INT(Close))*60),0)))</f>
        <v>44438.060416666667</v>
      </c>
    </row>
    <row r="14" spans="1:23" ht="17" customHeight="1" x14ac:dyDescent="0.2">
      <c r="C14" s="3" t="s">
        <v>11</v>
      </c>
      <c r="D14" s="34">
        <v>344</v>
      </c>
      <c r="E14" s="96" t="s">
        <v>86</v>
      </c>
      <c r="F14" s="97" t="s">
        <v>87</v>
      </c>
      <c r="G14" s="97" t="s">
        <v>100</v>
      </c>
      <c r="H14" s="98" t="s">
        <v>101</v>
      </c>
      <c r="I14" s="104"/>
      <c r="J14" s="104"/>
      <c r="K14" s="105"/>
      <c r="L14">
        <f t="shared" si="1"/>
        <v>10.382400000000001</v>
      </c>
      <c r="M14">
        <f t="shared" si="0"/>
        <v>22.933333333333334</v>
      </c>
      <c r="N14" s="5">
        <f>IF(ISBLANK(Distance),"",Open_time Control_1+(INT(Open)&amp;":"&amp;IF(ROUND(((Open-INT(Open))*60),0)&lt;10,0,"")&amp;ROUND(((Open-INT(Open))*60),0)))</f>
        <v>44437.682638888888</v>
      </c>
      <c r="O14" s="5">
        <f>IF(ISBLANK(Distance),"",Open_time Control_1+(INT(Close)&amp;":"&amp;IF(ROUND(((Close-INT(Close))*60),0)&lt;10,0,"")&amp;ROUND(((Close-INT(Close))*60),0)))</f>
        <v>44438.205555555556</v>
      </c>
      <c r="Q14" s="94" t="s">
        <v>79</v>
      </c>
    </row>
    <row r="15" spans="1:23" ht="17" customHeight="1" x14ac:dyDescent="0.2">
      <c r="C15" s="3" t="s">
        <v>12</v>
      </c>
      <c r="D15" s="34">
        <v>417.9</v>
      </c>
      <c r="E15" s="96" t="s">
        <v>89</v>
      </c>
      <c r="F15" s="97" t="s">
        <v>102</v>
      </c>
      <c r="G15" s="97" t="s">
        <v>103</v>
      </c>
      <c r="H15" s="98" t="s">
        <v>104</v>
      </c>
      <c r="I15" s="104"/>
      <c r="J15" s="104"/>
      <c r="K15" s="105"/>
      <c r="L15">
        <f t="shared" si="1"/>
        <v>12.729066666666666</v>
      </c>
      <c r="M15">
        <f t="shared" si="0"/>
        <v>27.86</v>
      </c>
      <c r="N15" s="5">
        <f>IF(ISBLANK(Distance),"",Open_time Control_1+(INT(Open)&amp;":"&amp;IF(ROUND(((Open-INT(Open))*60),0)&lt;10,0,"")&amp;ROUND(((Open-INT(Open))*60),0)))</f>
        <v>44437.780555555553</v>
      </c>
      <c r="O15" s="5">
        <f>IF(ISBLANK(Distance),"",Open_time Control_1+(INT(Close)&amp;":"&amp;IF(ROUND(((Close-INT(Close))*60),0)&lt;10,0,"")&amp;ROUND(((Close-INT(Close))*60),0)))</f>
        <v>44438.411111111112</v>
      </c>
    </row>
    <row r="16" spans="1:23" ht="17" customHeight="1" x14ac:dyDescent="0.2">
      <c r="C16" s="3" t="s">
        <v>13</v>
      </c>
      <c r="D16" s="34">
        <v>490.4</v>
      </c>
      <c r="E16" s="96" t="s">
        <v>90</v>
      </c>
      <c r="F16" s="97" t="s">
        <v>105</v>
      </c>
      <c r="G16" s="97" t="s">
        <v>106</v>
      </c>
      <c r="H16" s="98" t="s">
        <v>107</v>
      </c>
      <c r="I16" s="104"/>
      <c r="J16" s="104"/>
      <c r="K16" s="105"/>
      <c r="L16">
        <f t="shared" si="1"/>
        <v>15.145733333333332</v>
      </c>
      <c r="M16">
        <f t="shared" si="0"/>
        <v>32.693333333333335</v>
      </c>
      <c r="N16" s="5">
        <f>IF(ISBLANK(Distance),"",Open_time Control_1+(INT(Open)&amp;":"&amp;IF(ROUND(((Open-INT(Open))*60),0)&lt;10,0,"")&amp;ROUND(((Open-INT(Open))*60),0)))</f>
        <v>44437.881249999999</v>
      </c>
      <c r="O16" s="5">
        <f>IF(ISBLANK(Distance),"",Open_time Control_1+(INT(Close)&amp;":"&amp;IF(ROUND(((Close-INT(Close))*60),0)&lt;10,0,"")&amp;ROUND(((Close-INT(Close))*60),0)))</f>
        <v>44438.612500000003</v>
      </c>
    </row>
    <row r="17" spans="3:15" ht="17" customHeight="1" x14ac:dyDescent="0.2">
      <c r="C17" s="3" t="s">
        <v>14</v>
      </c>
      <c r="D17" s="34">
        <v>525.29999999999995</v>
      </c>
      <c r="E17" s="96" t="s">
        <v>91</v>
      </c>
      <c r="F17" s="97" t="s">
        <v>92</v>
      </c>
      <c r="G17" s="97" t="s">
        <v>108</v>
      </c>
      <c r="H17" s="98" t="s">
        <v>109</v>
      </c>
      <c r="I17" s="104"/>
      <c r="J17" s="104"/>
      <c r="K17" s="105"/>
      <c r="L17">
        <f t="shared" si="1"/>
        <v>16.309066666666666</v>
      </c>
      <c r="M17">
        <f t="shared" si="0"/>
        <v>35.019999999999996</v>
      </c>
      <c r="N17" s="5">
        <f>IF(ISBLANK(Distance),"",Open_time Control_1+(INT(Open)&amp;":"&amp;IF(ROUND(((Open-INT(Open))*60),0)&lt;10,0,"")&amp;ROUND(((Open-INT(Open))*60),0)))</f>
        <v>44437.929861111108</v>
      </c>
      <c r="O17" s="5">
        <f>IF(ISBLANK(Distance),"",Open_time Control_1+(INT(Close)&amp;":"&amp;IF(ROUND(((Close-INT(Close))*60),0)&lt;10,0,"")&amp;ROUND(((Close-INT(Close))*60),0)))</f>
        <v>44438.709027777775</v>
      </c>
    </row>
    <row r="18" spans="3:15" ht="17" customHeight="1" x14ac:dyDescent="0.2">
      <c r="C18" s="3" t="s">
        <v>15</v>
      </c>
      <c r="D18" s="34">
        <v>553.5</v>
      </c>
      <c r="E18" s="96" t="s">
        <v>90</v>
      </c>
      <c r="F18" s="97" t="s">
        <v>93</v>
      </c>
      <c r="G18" s="97" t="s">
        <v>110</v>
      </c>
      <c r="H18" s="98" t="s">
        <v>111</v>
      </c>
      <c r="I18" s="104"/>
      <c r="J18" s="104"/>
      <c r="K18" s="105"/>
      <c r="L18">
        <f t="shared" si="1"/>
        <v>17.249066666666668</v>
      </c>
      <c r="M18">
        <f t="shared" si="0"/>
        <v>36.9</v>
      </c>
      <c r="N18" s="5">
        <f>IF(ISBLANK(Distance),"",Open_time Control_1+(INT(Open)&amp;":"&amp;IF(ROUND(((Open-INT(Open))*60),0)&lt;10,0,"")&amp;ROUND(((Open-INT(Open))*60),0)))</f>
        <v>44437.96875</v>
      </c>
      <c r="O18" s="5">
        <f>IF(ISBLANK(Distance),"",Open_time Control_1+(INT(Close)&amp;":"&amp;IF(ROUND(((Close-INT(Close))*60),0)&lt;10,0,"")&amp;ROUND(((Close-INT(Close))*60),0)))</f>
        <v>44438.787499999999</v>
      </c>
    </row>
    <row r="19" spans="3:15" ht="17" customHeight="1" thickBot="1" x14ac:dyDescent="0.2">
      <c r="C19" s="3" t="s">
        <v>16</v>
      </c>
      <c r="D19" s="64">
        <v>602.6</v>
      </c>
      <c r="E19" s="106" t="s">
        <v>82</v>
      </c>
      <c r="F19" s="107" t="s">
        <v>88</v>
      </c>
      <c r="G19" s="107" t="s">
        <v>112</v>
      </c>
      <c r="H19" s="108"/>
      <c r="I19" s="107"/>
      <c r="J19" s="107"/>
      <c r="K19" s="108"/>
      <c r="L19">
        <f t="shared" si="1"/>
        <v>18.891857142857145</v>
      </c>
      <c r="M19">
        <f t="shared" si="0"/>
        <v>40</v>
      </c>
      <c r="N19" s="5">
        <f>IF(ISBLANK(Distance),"",Open_time Control_1+(INT(Open)&amp;":"&amp;IF(ROUND(((Open-INT(Open))*60),0)&lt;10,0,"")&amp;ROUND(((Open-INT(Open))*60),0)))</f>
        <v>44438.037499999999</v>
      </c>
      <c r="O19" s="5">
        <f>IF(ISBLANK(Distance),"",Open_time Control_1+(INT(Close)&amp;":"&amp;IF(ROUND(((Close-INT(Close))*60),0)&lt;10,0,"")&amp;ROUND(((Close-INT(Close))*60),0)))</f>
        <v>44438.916666666664</v>
      </c>
    </row>
    <row r="20" spans="3:15" ht="7" customHeight="1" thickBot="1" x14ac:dyDescent="0.25">
      <c r="D20" s="86"/>
      <c r="E20" s="87"/>
      <c r="F20" s="88"/>
      <c r="G20" s="88"/>
      <c r="H20" s="88"/>
      <c r="I20" s="88"/>
      <c r="J20" s="88"/>
      <c r="K20" s="89"/>
      <c r="N20" s="5"/>
      <c r="O20" s="5"/>
    </row>
    <row r="21" spans="3:15" ht="14" thickBot="1" x14ac:dyDescent="0.2">
      <c r="D21" s="110" t="s">
        <v>62</v>
      </c>
      <c r="E21" s="111"/>
      <c r="F21" s="111"/>
      <c r="G21" s="111"/>
      <c r="H21" s="111"/>
      <c r="I21" s="110" t="s">
        <v>80</v>
      </c>
      <c r="J21" s="111"/>
      <c r="K21" s="112"/>
    </row>
    <row r="22" spans="3:15" ht="14" thickBot="1" x14ac:dyDescent="0.2">
      <c r="D22" s="6" t="s">
        <v>24</v>
      </c>
      <c r="E22" s="7" t="s">
        <v>25</v>
      </c>
      <c r="F22" s="84" t="s">
        <v>26</v>
      </c>
      <c r="G22" s="84" t="s">
        <v>27</v>
      </c>
      <c r="H22" s="85" t="s">
        <v>28</v>
      </c>
      <c r="I22" s="7" t="s">
        <v>64</v>
      </c>
      <c r="J22" s="7" t="s">
        <v>65</v>
      </c>
      <c r="K22" s="8" t="s">
        <v>66</v>
      </c>
      <c r="L22" t="s">
        <v>3</v>
      </c>
      <c r="M22" t="s">
        <v>4</v>
      </c>
      <c r="N22" t="s">
        <v>5</v>
      </c>
      <c r="O22" t="s">
        <v>6</v>
      </c>
    </row>
    <row r="23" spans="3:15" ht="16" x14ac:dyDescent="0.2">
      <c r="D23" s="34"/>
      <c r="E23" s="96"/>
      <c r="F23" s="97"/>
      <c r="G23" s="97"/>
      <c r="H23" s="98"/>
      <c r="I23" s="104"/>
      <c r="J23" s="104"/>
      <c r="K23" s="105"/>
      <c r="L23" t="str">
        <f>IF(ISBLANK(D23),"",IF(D23&gt;1000,(D23-1000)/26+33.0847,(IF(D23&gt;600,(D23-600)/28+18.799,(IF(D23&gt;400,(D23-400)/30+12.1324,(IF(D23&gt;200,(D23-200)/32+5.8824,D23/34))))))))</f>
        <v/>
      </c>
      <c r="M23" t="str">
        <f>IF(ISBLANK(D23),"",IF(D23=0,(L23+1),IF(D23&gt;=brevet,IF(brevet&gt;1200,(brevet-1200)*75/1000+90,Max_time),IF(D23&gt;1200,(D23-1200)*75/1000+90,IF(D23&gt;1000,(D23-1000)/(1000/75)+75,IF(D23&gt;600,(D23-600)/(400/35)+40,D23/15))))))</f>
        <v/>
      </c>
      <c r="N23" s="5" t="str">
        <f>IF(ISBLANK(D23),"",Open_time Control_1+(INT(L23)&amp;":"&amp;IF(ROUND(((L23-INT(L23))*60),0)&lt;10,0,"")&amp;ROUND(((L23-INT(L23))*60),0)))</f>
        <v/>
      </c>
      <c r="O23" s="5" t="str">
        <f>IF(ISBLANK(D23),"",Open_time Control_1+(INT(M23)&amp;":"&amp;IF(ROUND(((M23-INT(M23))*60),0)&lt;10,0,"")&amp;ROUND(((M23-INT(M23))*60),0)))</f>
        <v/>
      </c>
    </row>
    <row r="24" spans="3:15" ht="17" customHeight="1" x14ac:dyDescent="0.2">
      <c r="D24" s="34"/>
      <c r="E24" s="96"/>
      <c r="F24" s="97"/>
      <c r="G24" s="97"/>
      <c r="H24" s="98"/>
      <c r="I24" s="104"/>
      <c r="J24" s="104"/>
      <c r="K24" s="105"/>
      <c r="L24" t="str">
        <f t="shared" ref="L24:L32" si="2">IF(ISBLANK(D24),"",IF(D24&gt;1000,(D24-1000)/26+33.0847,(IF(D24&gt;600,(D24-600)/28+18.799,(IF(D24&gt;400,(D24-400)/30+12.1324,(IF(D24&gt;200,(D24-200)/32+5.8824,D24/34))))))))</f>
        <v/>
      </c>
      <c r="M24" t="str">
        <f t="shared" ref="M24:M32" si="3">IF(ISBLANK(D24),"",IF(D24&gt;=brevet,IF(brevet&gt;1200,(brevet-1200)*75/1000+90,Max_time),IF(D24&gt;1200,(D24-1200)*75/1000+90,IF(D24&gt;1000,(D24-1000)/(1000/75)+75,IF(D24&gt;600,(D24-600)/(400/35)+40,D24/15)))))</f>
        <v/>
      </c>
      <c r="N24" s="5" t="str">
        <f>IF(ISBLANK(D24),"",Open_time Control_1+(INT(L24)&amp;":"&amp;IF(ROUND(((L24-INT(L24))*60),0)&lt;10,0,"")&amp;ROUND(((L24-INT(L24))*60),0)))</f>
        <v/>
      </c>
      <c r="O24" s="5" t="str">
        <f>IF(ISBLANK(D24),"",Open_time Control_1+(INT(M24)&amp;":"&amp;IF(ROUND(((M24-INT(M24))*60),0)&lt;10,0,"")&amp;ROUND(((M24-INT(M24))*60),0)))</f>
        <v/>
      </c>
    </row>
    <row r="25" spans="3:15" ht="17" customHeight="1" x14ac:dyDescent="0.2">
      <c r="D25" s="34"/>
      <c r="E25" s="96"/>
      <c r="F25" s="97"/>
      <c r="G25" s="97"/>
      <c r="H25" s="98"/>
      <c r="I25" s="104"/>
      <c r="J25" s="104"/>
      <c r="K25" s="105"/>
      <c r="L25" t="str">
        <f t="shared" si="2"/>
        <v/>
      </c>
      <c r="M25" t="str">
        <f t="shared" si="3"/>
        <v/>
      </c>
      <c r="N25" s="5" t="str">
        <f>IF(ISBLANK(D25),"",Open_time Control_1+(INT(L25)&amp;":"&amp;IF(ROUND(((L25-INT(L25))*60),0)&lt;10,0,"")&amp;ROUND(((L25-INT(L25))*60),0)))</f>
        <v/>
      </c>
      <c r="O25" s="5" t="str">
        <f>IF(ISBLANK(D25),"",Open_time Control_1+(INT(M25)&amp;":"&amp;IF(ROUND(((M25-INT(M25))*60),0)&lt;10,0,"")&amp;ROUND(((M25-INT(M25))*60),0)))</f>
        <v/>
      </c>
    </row>
    <row r="26" spans="3:15" ht="17" customHeight="1" x14ac:dyDescent="0.2">
      <c r="D26" s="34"/>
      <c r="E26" s="96"/>
      <c r="F26" s="97"/>
      <c r="G26" s="97"/>
      <c r="H26" s="98"/>
      <c r="I26" s="104"/>
      <c r="J26" s="104"/>
      <c r="K26" s="105"/>
      <c r="L26" t="str">
        <f t="shared" si="2"/>
        <v/>
      </c>
      <c r="M26" t="str">
        <f t="shared" si="3"/>
        <v/>
      </c>
      <c r="N26" s="5" t="str">
        <f>IF(ISBLANK(D26),"",Open_time Control_1+(INT(L26)&amp;":"&amp;IF(ROUND(((L26-INT(L26))*60),0)&lt;10,0,"")&amp;ROUND(((L26-INT(L26))*60),0)))</f>
        <v/>
      </c>
      <c r="O26" s="5" t="str">
        <f>IF(ISBLANK(D26),"",Open_time Control_1+(INT(M26)&amp;":"&amp;IF(ROUND(((M26-INT(M26))*60),0)&lt;10,0,"")&amp;ROUND(((M26-INT(M26))*60),0)))</f>
        <v/>
      </c>
    </row>
    <row r="27" spans="3:15" ht="17" customHeight="1" x14ac:dyDescent="0.2">
      <c r="D27" s="34"/>
      <c r="E27" s="96"/>
      <c r="F27" s="97"/>
      <c r="G27" s="97"/>
      <c r="H27" s="98"/>
      <c r="I27" s="104"/>
      <c r="J27" s="104"/>
      <c r="K27" s="105"/>
      <c r="L27" t="str">
        <f t="shared" si="2"/>
        <v/>
      </c>
      <c r="M27" t="str">
        <f t="shared" si="3"/>
        <v/>
      </c>
      <c r="N27" s="5" t="str">
        <f>IF(ISBLANK(D27),"",Open_time Control_1+(INT(L27)&amp;":"&amp;IF(ROUND(((L27-INT(L27))*60),0)&lt;10,0,"")&amp;ROUND(((L27-INT(L27))*60),0)))</f>
        <v/>
      </c>
      <c r="O27" s="5" t="str">
        <f>IF(ISBLANK(D27),"",Open_time Control_1+(INT(M27)&amp;":"&amp;IF(ROUND(((M27-INT(M27))*60),0)&lt;10,0,"")&amp;ROUND(((M27-INT(M27))*60),0)))</f>
        <v/>
      </c>
    </row>
    <row r="28" spans="3:15" ht="17" customHeight="1" x14ac:dyDescent="0.2">
      <c r="D28" s="34"/>
      <c r="E28" s="96"/>
      <c r="F28" s="97"/>
      <c r="G28" s="97"/>
      <c r="H28" s="98"/>
      <c r="I28" s="104"/>
      <c r="J28" s="104"/>
      <c r="K28" s="105"/>
      <c r="L28" t="str">
        <f t="shared" si="2"/>
        <v/>
      </c>
      <c r="M28" t="str">
        <f t="shared" si="3"/>
        <v/>
      </c>
      <c r="N28" s="5" t="str">
        <f>IF(ISBLANK(D28),"",Open_time Control_1+(INT(L28)&amp;":"&amp;IF(ROUND(((L28-INT(L28))*60),0)&lt;10,0,"")&amp;ROUND(((L28-INT(L28))*60),0)))</f>
        <v/>
      </c>
      <c r="O28" s="5" t="str">
        <f>IF(ISBLANK(D28),"",Open_time Control_1+(INT(M28)&amp;":"&amp;IF(ROUND(((M28-INT(M28))*60),0)&lt;10,0,"")&amp;ROUND(((M28-INT(M28))*60),0)))</f>
        <v/>
      </c>
    </row>
    <row r="29" spans="3:15" ht="17" customHeight="1" x14ac:dyDescent="0.2">
      <c r="D29" s="34"/>
      <c r="E29" s="96"/>
      <c r="F29" s="97"/>
      <c r="G29" s="97"/>
      <c r="H29" s="98"/>
      <c r="I29" s="104"/>
      <c r="J29" s="104"/>
      <c r="K29" s="105"/>
      <c r="L29" t="str">
        <f t="shared" si="2"/>
        <v/>
      </c>
      <c r="M29" t="str">
        <f t="shared" si="3"/>
        <v/>
      </c>
      <c r="N29" s="5" t="str">
        <f>IF(ISBLANK(D29),"",Open_time Control_1+(INT(L29)&amp;":"&amp;IF(ROUND(((L29-INT(L29))*60),0)&lt;10,0,"")&amp;ROUND(((L29-INT(L29))*60),0)))</f>
        <v/>
      </c>
      <c r="O29" s="5" t="str">
        <f>IF(ISBLANK(D29),"",Open_time Control_1+(INT(M29)&amp;":"&amp;IF(ROUND(((M29-INT(M29))*60),0)&lt;10,0,"")&amp;ROUND(((M29-INT(M29))*60),0)))</f>
        <v/>
      </c>
    </row>
    <row r="30" spans="3:15" ht="17" customHeight="1" x14ac:dyDescent="0.2">
      <c r="D30" s="34"/>
      <c r="E30" s="96"/>
      <c r="F30" s="97"/>
      <c r="G30" s="97"/>
      <c r="H30" s="98"/>
      <c r="I30" s="104"/>
      <c r="J30" s="104"/>
      <c r="K30" s="105"/>
      <c r="L30" t="str">
        <f t="shared" si="2"/>
        <v/>
      </c>
      <c r="M30" t="str">
        <f t="shared" si="3"/>
        <v/>
      </c>
      <c r="N30" s="5" t="str">
        <f>IF(ISBLANK(D30),"",Open_time Control_1+(INT(L30)&amp;":"&amp;IF(ROUND(((L30-INT(L30))*60),0)&lt;10,0,"")&amp;ROUND(((L30-INT(L30))*60),0)))</f>
        <v/>
      </c>
      <c r="O30" s="5" t="str">
        <f>IF(ISBLANK(D30),"",Open_time Control_1+(INT(M30)&amp;":"&amp;IF(ROUND(((M30-INT(M30))*60),0)&lt;10,0,"")&amp;ROUND(((M30-INT(M30))*60),0)))</f>
        <v/>
      </c>
    </row>
    <row r="31" spans="3:15" ht="17" customHeight="1" x14ac:dyDescent="0.2">
      <c r="D31" s="34"/>
      <c r="E31" s="96"/>
      <c r="F31" s="97"/>
      <c r="G31" s="97"/>
      <c r="H31" s="98"/>
      <c r="I31" s="104"/>
      <c r="J31" s="104"/>
      <c r="K31" s="105"/>
      <c r="L31" t="str">
        <f t="shared" si="2"/>
        <v/>
      </c>
      <c r="M31" t="str">
        <f t="shared" si="3"/>
        <v/>
      </c>
      <c r="N31" s="5" t="str">
        <f>IF(ISBLANK(D31),"",Open_time Control_1+(INT(L31)&amp;":"&amp;IF(ROUND(((L31-INT(L31))*60),0)&lt;10,0,"")&amp;ROUND(((L31-INT(L31))*60),0)))</f>
        <v/>
      </c>
      <c r="O31" s="5" t="str">
        <f>IF(ISBLANK(D31),"",Open_time Control_1+(INT(M31)&amp;":"&amp;IF(ROUND(((M31-INT(M31))*60),0)&lt;10,0,"")&amp;ROUND(((M31-INT(M31))*60),0)))</f>
        <v/>
      </c>
    </row>
    <row r="32" spans="3:15" ht="17" customHeight="1" thickBot="1" x14ac:dyDescent="0.2">
      <c r="D32" s="64"/>
      <c r="E32" s="106"/>
      <c r="F32" s="107"/>
      <c r="G32" s="107"/>
      <c r="H32" s="108"/>
      <c r="I32" s="107"/>
      <c r="J32" s="107"/>
      <c r="K32" s="108"/>
      <c r="L32" t="str">
        <f t="shared" si="2"/>
        <v/>
      </c>
      <c r="M32" t="str">
        <f t="shared" si="3"/>
        <v/>
      </c>
      <c r="N32" s="5" t="str">
        <f>IF(ISBLANK(D32),"",Open_time Control_1+(INT(L32)&amp;":"&amp;IF(ROUND(((L32-INT(L32))*60),0)&lt;10,0,"")&amp;ROUND(((L32-INT(L32))*60),0)))</f>
        <v/>
      </c>
      <c r="O32" s="5" t="str">
        <f>IF(ISBLANK(D32),"",Open_time Control_1+(INT(M32)&amp;":"&amp;IF(ROUND(((M32-INT(M32))*60),0)&lt;10,0,"")&amp;ROUND(((M32-INT(M32))*60),0)))</f>
        <v/>
      </c>
    </row>
  </sheetData>
  <mergeCells count="5">
    <mergeCell ref="J1:K1"/>
    <mergeCell ref="D8:H8"/>
    <mergeCell ref="D21:H21"/>
    <mergeCell ref="I8:K8"/>
    <mergeCell ref="I21:K21"/>
  </mergeCells>
  <phoneticPr fontId="16"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tabSelected="1" zoomScale="92" zoomScaleNormal="92" zoomScalePageLayoutView="92" workbookViewId="0">
      <selection activeCell="A8" sqref="A8"/>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36" customWidth="1"/>
    <col min="9" max="9" width="12" customWidth="1"/>
    <col min="18" max="19" width="8.83203125" customWidth="1"/>
  </cols>
  <sheetData>
    <row r="1" spans="1:22" ht="21" thickBot="1" x14ac:dyDescent="0.2">
      <c r="A1" s="116" t="s">
        <v>44</v>
      </c>
      <c r="B1" s="116"/>
      <c r="C1" s="116"/>
      <c r="D1" s="116"/>
      <c r="E1" s="116"/>
      <c r="F1" s="116"/>
      <c r="G1" s="116"/>
      <c r="H1" s="35" t="s">
        <v>29</v>
      </c>
    </row>
    <row r="2" spans="1:22" ht="33.75" customHeight="1" thickBot="1" x14ac:dyDescent="0.25">
      <c r="A2" s="95" t="s">
        <v>30</v>
      </c>
      <c r="B2" s="9" t="s">
        <v>3</v>
      </c>
      <c r="C2" s="9" t="s">
        <v>4</v>
      </c>
      <c r="D2" s="9" t="s">
        <v>25</v>
      </c>
      <c r="E2" s="9" t="s">
        <v>31</v>
      </c>
      <c r="F2" s="9" t="s">
        <v>60</v>
      </c>
      <c r="G2" s="95" t="s">
        <v>32</v>
      </c>
      <c r="H2" s="35" t="s">
        <v>29</v>
      </c>
      <c r="K2" s="114" t="s">
        <v>56</v>
      </c>
      <c r="L2" s="114"/>
      <c r="M2" s="114"/>
      <c r="N2" s="114"/>
      <c r="O2" s="114"/>
      <c r="P2" s="114"/>
      <c r="Q2" s="114"/>
      <c r="R2" s="114"/>
      <c r="S2" s="114"/>
      <c r="T2" s="114"/>
      <c r="U2" s="114"/>
    </row>
    <row r="3" spans="1:22" ht="36" customHeight="1" x14ac:dyDescent="0.45">
      <c r="A3" s="39"/>
      <c r="B3" s="40">
        <f>Control_1 Open_time</f>
        <v>44437.25</v>
      </c>
      <c r="C3" s="40">
        <f>Control_1 Close_time</f>
        <v>44437.291666666664</v>
      </c>
      <c r="D3" s="41"/>
      <c r="E3" s="42" t="str">
        <f>IF(ISBLANK(Control_1 Establishment_1),"",Control_1 Establishment_1)</f>
        <v>Breka Café</v>
      </c>
      <c r="F3" s="42" t="str">
        <f>IF(ISBLANK('Control Entry'!I10),"",'Control Entry'!I10)</f>
        <v/>
      </c>
      <c r="G3" s="10"/>
      <c r="H3" s="35" t="s">
        <v>29</v>
      </c>
      <c r="K3" s="16"/>
      <c r="O3" s="123" t="s">
        <v>33</v>
      </c>
      <c r="P3" s="123"/>
      <c r="Q3" s="123"/>
      <c r="R3" s="123"/>
      <c r="S3" s="83" t="str">
        <f>IF(ISBLANK('Control Entry'!D23),"","#1")</f>
        <v/>
      </c>
      <c r="U3" s="52"/>
    </row>
    <row r="4" spans="1:22" ht="36" customHeight="1" x14ac:dyDescent="0.2">
      <c r="A4" s="48">
        <f>IF(ISBLANK(Distance Control_1),"",Control_1 Distance)</f>
        <v>0</v>
      </c>
      <c r="B4" s="49">
        <f>Control_1 Open_time</f>
        <v>44437.25</v>
      </c>
      <c r="C4" s="49">
        <f>Control_1 Close_time</f>
        <v>44437.291666666664</v>
      </c>
      <c r="D4" s="50" t="str">
        <f>IF(ISBLANK(Locale Control_1),"",Locale Control_1)</f>
        <v>Vancouver</v>
      </c>
      <c r="E4" s="42" t="str">
        <f>IF(ISBLANK(Control_1 Establishment_2),"",Control_1 Establishment_2)</f>
        <v/>
      </c>
      <c r="F4" s="42" t="str">
        <f>IF(ISBLANK('Control Entry'!J10),"",'Control Entry'!J10)</f>
        <v/>
      </c>
      <c r="G4" s="10"/>
      <c r="H4" s="35" t="s">
        <v>29</v>
      </c>
      <c r="K4" s="16"/>
      <c r="M4" s="118" t="str">
        <f>IF(ISBLANK(brevet),"",brevet&amp;" km Randonnée")</f>
        <v>600 km Randonnée</v>
      </c>
      <c r="N4" s="118"/>
      <c r="O4" s="118"/>
      <c r="P4" s="118"/>
      <c r="Q4" s="118"/>
      <c r="R4" s="118"/>
      <c r="S4" s="118"/>
      <c r="T4" s="118"/>
      <c r="U4" s="53"/>
    </row>
    <row r="5" spans="1:22" ht="36" customHeight="1" thickBot="1" x14ac:dyDescent="0.25">
      <c r="A5" s="43"/>
      <c r="B5" s="44">
        <f>Control_1 Open_time</f>
        <v>44437.25</v>
      </c>
      <c r="C5" s="44">
        <f>Control_1 Close_time</f>
        <v>44437.291666666664</v>
      </c>
      <c r="D5" s="45"/>
      <c r="E5" s="46" t="str">
        <f>IF(ISBLANK(Control_1 Establishment_3),"",Control_1 Establishment_3)</f>
        <v>What is the right side window for?</v>
      </c>
      <c r="F5" s="99" t="str">
        <f>IF(ISBLANK('Control Entry'!K10),"",'Control Entry'!K10)</f>
        <v/>
      </c>
      <c r="G5" s="11"/>
      <c r="H5" s="35" t="s">
        <v>29</v>
      </c>
      <c r="K5" s="16"/>
      <c r="M5" s="17"/>
      <c r="N5" s="121" t="s">
        <v>48</v>
      </c>
      <c r="O5" s="121"/>
      <c r="P5" s="81">
        <f>IF(ISBLANK(Brevet_Number),"",Brevet_Number)</f>
        <v>5087</v>
      </c>
      <c r="Q5" s="82"/>
      <c r="R5" s="113" t="str">
        <f>IF(ISBLANK('Control Entry'!$B5),"",'Control Entry'!$B5)</f>
        <v>&lt;ride window&gt;</v>
      </c>
      <c r="S5" s="113"/>
      <c r="T5" s="113"/>
      <c r="U5" s="113"/>
      <c r="V5" s="54"/>
    </row>
    <row r="6" spans="1:22" ht="36" customHeight="1" x14ac:dyDescent="0.2">
      <c r="A6" s="39"/>
      <c r="B6" s="40">
        <f>Control_2 Open_time</f>
        <v>44437.347222222219</v>
      </c>
      <c r="C6" s="40">
        <f>Control_2 Close_time</f>
        <v>44437.470138888886</v>
      </c>
      <c r="D6" s="47"/>
      <c r="E6" s="42" t="str">
        <f>IF(ISBLANK(Control_2 Establishment_1),"",Control_2 Establishment_1)</f>
        <v>Government Rd @ Depot Rd</v>
      </c>
      <c r="F6" s="42" t="str">
        <f>IF(ISBLANK('Control Entry'!I11),"",'Control Entry'!I11)</f>
        <v/>
      </c>
      <c r="G6" s="10"/>
      <c r="H6" s="35" t="s">
        <v>29</v>
      </c>
      <c r="K6" s="16"/>
      <c r="L6" s="126" t="str">
        <f>IF(ISBLANK(Brevet_Description),"",Brevet_Description)</f>
        <v>BAPAPAB</v>
      </c>
      <c r="M6" s="126"/>
      <c r="N6" s="126"/>
      <c r="O6" s="126"/>
      <c r="P6" s="126"/>
      <c r="Q6" s="126"/>
      <c r="R6" s="126"/>
      <c r="S6" s="126"/>
      <c r="T6" s="126"/>
      <c r="U6" s="126"/>
    </row>
    <row r="7" spans="1:22" ht="36" customHeight="1" x14ac:dyDescent="0.2">
      <c r="A7" s="48">
        <f>IF(ISBLANK(Distance Control_2),"",Control_2 Distance)</f>
        <v>79.2</v>
      </c>
      <c r="B7" s="49">
        <f>Control_2 Open_time</f>
        <v>44437.347222222219</v>
      </c>
      <c r="C7" s="49">
        <f>Control_2 Close_time</f>
        <v>44437.470138888886</v>
      </c>
      <c r="D7" s="50" t="str">
        <f>IF(ISBLANK(Locale Control_2),"",Locale Control_2)</f>
        <v>Squamish</v>
      </c>
      <c r="E7" s="42" t="str">
        <f>IF(ISBLANK(Control_2 Establishment_2),"",Control_2 Establishment_2)</f>
        <v>Fire Hydrant</v>
      </c>
      <c r="F7" s="42" t="str">
        <f>IF(ISBLANK('Control Entry'!J11),"",'Control Entry'!J11)</f>
        <v/>
      </c>
      <c r="G7" s="10"/>
      <c r="H7" s="35" t="s">
        <v>29</v>
      </c>
    </row>
    <row r="8" spans="1:22" ht="36" customHeight="1" thickBot="1" x14ac:dyDescent="0.25">
      <c r="A8" s="43"/>
      <c r="B8" s="44">
        <f>Control_2 Open_time</f>
        <v>44437.347222222219</v>
      </c>
      <c r="C8" s="44">
        <f>Control_2 Close_time</f>
        <v>44437.470138888886</v>
      </c>
      <c r="D8" s="45"/>
      <c r="E8" s="46" t="str">
        <f>IF(ISBLANK(Control_2 Establishment_3),"",Control_2 Establishment_3)</f>
        <v>4.5 IN-175 ____ ?</v>
      </c>
      <c r="F8" s="46" t="str">
        <f>IF(ISBLANK('Control Entry'!K11),"",'Control Entry'!K11)</f>
        <v/>
      </c>
      <c r="G8" s="11"/>
      <c r="H8" s="35" t="s">
        <v>29</v>
      </c>
      <c r="J8" s="17" t="s">
        <v>34</v>
      </c>
      <c r="L8" s="115"/>
      <c r="M8" s="115"/>
      <c r="N8" s="115"/>
      <c r="O8" s="115"/>
      <c r="P8" s="115"/>
      <c r="Q8" s="115"/>
      <c r="R8" s="36"/>
      <c r="S8" s="55" t="s">
        <v>47</v>
      </c>
      <c r="T8" s="127"/>
      <c r="U8" s="127"/>
    </row>
    <row r="9" spans="1:22" ht="36" customHeight="1" thickBot="1" x14ac:dyDescent="0.3">
      <c r="A9" s="39"/>
      <c r="B9" s="40">
        <f>Control_3 Open_time</f>
        <v>44437.439583333333</v>
      </c>
      <c r="C9" s="40">
        <f>Control_3 Close_time</f>
        <v>44437.679166666669</v>
      </c>
      <c r="D9" s="47"/>
      <c r="E9" s="42" t="str">
        <f>IF(ISBLANK(Control_3 Establishment_1),"",Control_3 Establishment_1)</f>
        <v>Arborlynn Dr @ Lynn Valley Link Route</v>
      </c>
      <c r="F9" s="42" t="str">
        <f>IF(ISBLANK('Control Entry'!I12),"",'Control Entry'!I12)</f>
        <v/>
      </c>
      <c r="G9" s="10"/>
      <c r="H9" s="35" t="s">
        <v>29</v>
      </c>
      <c r="J9" s="17" t="s">
        <v>35</v>
      </c>
      <c r="K9" s="17"/>
      <c r="L9" s="65" t="s">
        <v>55</v>
      </c>
      <c r="M9" s="23"/>
      <c r="N9" s="23"/>
      <c r="O9" s="23"/>
      <c r="P9" s="23"/>
      <c r="Q9" s="23"/>
      <c r="R9" s="23"/>
      <c r="S9" s="23"/>
      <c r="T9" s="23"/>
      <c r="U9" s="21"/>
    </row>
    <row r="10" spans="1:22" ht="36" customHeight="1" thickBot="1" x14ac:dyDescent="0.3">
      <c r="A10" s="48">
        <f>IF(ISBLANK(Distance Control_3),"",Control_3 Distance)</f>
        <v>154.5</v>
      </c>
      <c r="B10" s="49">
        <f>Control_3 Open_time</f>
        <v>44437.439583333333</v>
      </c>
      <c r="C10" s="49">
        <f>Control_3 Close_time</f>
        <v>44437.679166666669</v>
      </c>
      <c r="D10" s="50" t="str">
        <f>IF(ISBLANK(Locale Control_3),"",Locale Control_3)</f>
        <v>North Vancouver</v>
      </c>
      <c r="E10" s="42" t="str">
        <f>IF(ISBLANK(Control_3 Establishment_2),"",Control_3 Establishment_2)</f>
        <v>Last word on bottom right of link route sign</v>
      </c>
      <c r="F10" s="42" t="str">
        <f>IF(ISBLANK('Control Entry'!J12),"",'Control Entry'!J12)</f>
        <v/>
      </c>
      <c r="G10" s="10"/>
      <c r="H10" s="35" t="s">
        <v>29</v>
      </c>
      <c r="J10" s="17"/>
      <c r="K10" s="17"/>
      <c r="L10" s="37"/>
      <c r="M10" s="23"/>
      <c r="N10" s="23"/>
      <c r="O10" s="23"/>
      <c r="P10" s="23"/>
      <c r="Q10" s="23"/>
      <c r="R10" s="23"/>
      <c r="S10" s="23"/>
      <c r="T10" s="23"/>
      <c r="U10" s="21"/>
    </row>
    <row r="11" spans="1:22" ht="36" customHeight="1" thickBot="1" x14ac:dyDescent="0.3">
      <c r="A11" s="43"/>
      <c r="B11" s="44">
        <f>Control_3 Open_time</f>
        <v>44437.439583333333</v>
      </c>
      <c r="C11" s="44">
        <f>Control_3 Close_time</f>
        <v>44437.679166666669</v>
      </c>
      <c r="D11" s="45"/>
      <c r="E11" s="46" t="str">
        <f>IF(ISBLANK(Control_3 Establishment_3),"",Control_3 Establishment_3)</f>
        <v>_________n ?</v>
      </c>
      <c r="F11" s="46" t="str">
        <f>IF(ISBLANK('Control Entry'!K12),"",'Control Entry'!K12)</f>
        <v/>
      </c>
      <c r="G11" s="11"/>
      <c r="H11" s="35" t="s">
        <v>29</v>
      </c>
      <c r="J11" s="17" t="s">
        <v>36</v>
      </c>
      <c r="K11" s="17"/>
      <c r="L11" s="37"/>
      <c r="M11" s="23"/>
      <c r="N11" s="23"/>
      <c r="O11" s="24"/>
      <c r="P11" s="24" t="s">
        <v>37</v>
      </c>
      <c r="Q11" s="24"/>
      <c r="R11" s="24"/>
      <c r="S11" s="57"/>
      <c r="T11" s="37"/>
      <c r="U11" s="21"/>
    </row>
    <row r="12" spans="1:22" ht="36" customHeight="1" thickBot="1" x14ac:dyDescent="0.3">
      <c r="A12" s="39"/>
      <c r="B12" s="40">
        <f>Control_4 Open_time</f>
        <v>44437.614583333336</v>
      </c>
      <c r="C12" s="40">
        <f>Control_4 Close_time</f>
        <v>44438.060416666667</v>
      </c>
      <c r="D12" s="47"/>
      <c r="E12" s="42" t="str">
        <f>IF(ISBLANK(Control_4 Establishment_1),"",Control_4 Establishment_1)</f>
        <v>Lilooet @ Eagle St</v>
      </c>
      <c r="F12" s="42" t="str">
        <f>IF(ISBLANK('Control Entry'!I13),"",'Control Entry'!I13)</f>
        <v/>
      </c>
      <c r="G12" s="10"/>
      <c r="H12" s="35" t="s">
        <v>29</v>
      </c>
      <c r="J12" s="17" t="s">
        <v>38</v>
      </c>
      <c r="K12" s="17"/>
      <c r="L12" s="37"/>
      <c r="M12" s="23"/>
      <c r="N12" s="23"/>
      <c r="O12" s="24"/>
      <c r="P12" s="24" t="s">
        <v>39</v>
      </c>
      <c r="Q12" s="24"/>
      <c r="R12" s="24"/>
      <c r="S12" s="57"/>
      <c r="T12" s="37"/>
      <c r="U12" s="21"/>
    </row>
    <row r="13" spans="1:22" ht="36" customHeight="1" thickBot="1" x14ac:dyDescent="0.3">
      <c r="A13" s="48">
        <f>IF(ISBLANK(Distance Control_4),"",Control_4 Distance)</f>
        <v>291.8</v>
      </c>
      <c r="B13" s="49">
        <f>Control_4 Open_time</f>
        <v>44437.614583333336</v>
      </c>
      <c r="C13" s="49">
        <f>Control_4 Close_time</f>
        <v>44438.060416666667</v>
      </c>
      <c r="D13" s="50" t="str">
        <f>IF(ISBLANK(Locale Control_4),"",Locale Control_4)</f>
        <v>Harrison</v>
      </c>
      <c r="E13" s="42" t="str">
        <f>IF(ISBLANK(Control_4 Establishment_2),"",Control_4 Establishment_2)</f>
        <v>Words on the Fire Hydrant</v>
      </c>
      <c r="F13" s="42" t="str">
        <f>IF(ISBLANK('Control Entry'!J13),"",'Control Entry'!J13)</f>
        <v/>
      </c>
      <c r="G13" s="10"/>
      <c r="H13" s="35" t="s">
        <v>29</v>
      </c>
      <c r="J13" s="17" t="s">
        <v>40</v>
      </c>
      <c r="L13" s="79"/>
      <c r="M13" s="80"/>
      <c r="N13" s="80"/>
      <c r="O13" s="25"/>
      <c r="P13" s="24" t="s">
        <v>41</v>
      </c>
      <c r="Q13" s="24"/>
      <c r="R13" s="38"/>
      <c r="S13" s="26"/>
      <c r="T13" s="26"/>
      <c r="U13" s="22"/>
    </row>
    <row r="14" spans="1:22" ht="36" customHeight="1" thickBot="1" x14ac:dyDescent="0.25">
      <c r="A14" s="43"/>
      <c r="B14" s="44">
        <f>Control_4 Open_time</f>
        <v>44437.614583333336</v>
      </c>
      <c r="C14" s="44">
        <f>Control_4 Close_time</f>
        <v>44438.060416666667</v>
      </c>
      <c r="D14" s="45"/>
      <c r="E14" s="46" t="str">
        <f>IF(ISBLANK(Control_4 Establishment_3),"",Control_4 Establishment_3)</f>
        <v>___ and _______ ?</v>
      </c>
      <c r="F14" s="99" t="str">
        <f>IF(ISBLANK('Control Entry'!K13),"",'Control Entry'!K13)</f>
        <v/>
      </c>
      <c r="G14" s="11"/>
      <c r="H14" s="35" t="s">
        <v>29</v>
      </c>
    </row>
    <row r="15" spans="1:22" ht="36" customHeight="1" x14ac:dyDescent="0.2">
      <c r="A15" s="39"/>
      <c r="B15" s="40">
        <f>Control_5 Open_time</f>
        <v>44437.682638888888</v>
      </c>
      <c r="C15" s="40">
        <f>Control_5 Close_time</f>
        <v>44438.205555555556</v>
      </c>
      <c r="D15" s="47"/>
      <c r="E15" s="42" t="str">
        <f>IF(ISBLANK(Control_5 Establishment_1),"",Control_5 Establishment_1)</f>
        <v>Othello Peers Crk</v>
      </c>
      <c r="F15" s="42" t="str">
        <f>IF(ISBLANK('Control Entry'!I14),"",'Control Entry'!I14)</f>
        <v/>
      </c>
      <c r="G15" s="10"/>
      <c r="H15" s="35" t="s">
        <v>29</v>
      </c>
      <c r="J15" s="17"/>
      <c r="L15" s="125" t="s">
        <v>59</v>
      </c>
      <c r="M15" s="125"/>
      <c r="N15" s="125"/>
      <c r="O15" s="125"/>
      <c r="P15" s="125"/>
      <c r="Q15" s="125"/>
      <c r="R15" s="125"/>
      <c r="S15" s="125"/>
      <c r="T15" s="125"/>
      <c r="U15" s="125"/>
    </row>
    <row r="16" spans="1:22" ht="36" customHeight="1" thickBot="1" x14ac:dyDescent="0.25">
      <c r="A16" s="48">
        <f>IF(ISBLANK(Distance Control_5),"",Control_5 Distance)</f>
        <v>344</v>
      </c>
      <c r="B16" s="49">
        <f>Control_5 Open_time</f>
        <v>44437.682638888888</v>
      </c>
      <c r="C16" s="49">
        <f>Control_5 Close_time</f>
        <v>44438.205555555556</v>
      </c>
      <c r="D16" s="50" t="str">
        <f>IF(ISBLANK(Locale Control_5),"",Locale Control_5)</f>
        <v>Hope</v>
      </c>
      <c r="E16" s="42" t="str">
        <f>IF(ISBLANK(Control_5 Establishment_2),"",Control_5 Establishment_2)</f>
        <v>sticker on back of road hazard sign on right</v>
      </c>
      <c r="F16" s="42" t="str">
        <f>IF(ISBLANK('Control Entry'!J14),"",'Control Entry'!J14)</f>
        <v/>
      </c>
      <c r="G16" s="10"/>
      <c r="H16" s="35" t="s">
        <v>29</v>
      </c>
      <c r="L16" s="74"/>
      <c r="M16" s="74"/>
      <c r="N16" s="74"/>
      <c r="O16" s="74"/>
      <c r="P16" s="74"/>
      <c r="Q16" s="75"/>
      <c r="R16" s="75"/>
      <c r="S16" s="75"/>
      <c r="T16" s="75"/>
      <c r="U16" s="75"/>
    </row>
    <row r="17" spans="1:22" ht="36" customHeight="1" thickBot="1" x14ac:dyDescent="0.25">
      <c r="A17" s="43"/>
      <c r="B17" s="44">
        <f>Control_5 Open_time</f>
        <v>44437.682638888888</v>
      </c>
      <c r="C17" s="44">
        <f>Control_5 Close_time</f>
        <v>44438.205555555556</v>
      </c>
      <c r="D17" s="45"/>
      <c r="E17" s="46" t="str">
        <f>IF(ISBLANK(Control_5 Establishment_3),"",Control_5 Establishment_3)</f>
        <v>_____ ___ __</v>
      </c>
      <c r="F17" s="46" t="str">
        <f>IF(ISBLANK('Control Entry'!K14),"",'Control Entry'!K14)</f>
        <v/>
      </c>
      <c r="G17" s="11"/>
      <c r="H17" s="35" t="s">
        <v>29</v>
      </c>
    </row>
    <row r="18" spans="1:22" ht="36" customHeight="1" x14ac:dyDescent="0.2">
      <c r="A18" s="39"/>
      <c r="B18" s="40">
        <f>Control_6 Open_time</f>
        <v>44437.780555555553</v>
      </c>
      <c r="C18" s="40">
        <f>Control_6 Close_time</f>
        <v>44438.411111111112</v>
      </c>
      <c r="D18" s="47"/>
      <c r="E18" s="42" t="str">
        <f>IF(ISBLANK(Control_6 Establishment_1),"",Control_6 Establishment_1)</f>
        <v>Knight Rd @ Bike Rt</v>
      </c>
      <c r="F18" s="42" t="str">
        <f>IF(ISBLANK('Control Entry'!I15),"",'Control Entry'!I15)</f>
        <v/>
      </c>
      <c r="G18" s="10"/>
      <c r="H18" s="35" t="s">
        <v>29</v>
      </c>
    </row>
    <row r="19" spans="1:22" ht="36" customHeight="1" x14ac:dyDescent="0.2">
      <c r="A19" s="48">
        <f>IF(ISBLANK(Distance Control_6),"",Control_6 Distance)</f>
        <v>417.9</v>
      </c>
      <c r="B19" s="49">
        <f>Control_6 Open_time</f>
        <v>44437.780555555553</v>
      </c>
      <c r="C19" s="49">
        <f>Control_6 Close_time</f>
        <v>44438.411111111112</v>
      </c>
      <c r="D19" s="50" t="str">
        <f>IF(ISBLANK(Locale Control_6),"",Locale Control_6)</f>
        <v>Chilliwack</v>
      </c>
      <c r="E19" s="42" t="str">
        <f>IF(ISBLANK(Control_6 Establishment_2),"",Control_6 Establishment_2)</f>
        <v>How many zipties on back of the</v>
      </c>
      <c r="F19" s="42" t="str">
        <f>IF(ISBLANK('Control Entry'!J15),"",'Control Entry'!J15)</f>
        <v/>
      </c>
      <c r="G19" s="10"/>
      <c r="H19" s="35" t="s">
        <v>29</v>
      </c>
    </row>
    <row r="20" spans="1:22" ht="36" customHeight="1" thickBot="1" x14ac:dyDescent="0.25">
      <c r="A20" s="43"/>
      <c r="B20" s="44">
        <f>Control_6 Open_time</f>
        <v>44437.780555555553</v>
      </c>
      <c r="C20" s="44">
        <f>Control_6 Close_time</f>
        <v>44438.411111111112</v>
      </c>
      <c r="D20" s="45"/>
      <c r="E20" s="46" t="str">
        <f>IF(ISBLANK(Control_6 Establishment_3),"",Control_6 Establishment_3)</f>
        <v>"no motorized vehicles" sign?</v>
      </c>
      <c r="F20" s="46" t="str">
        <f>IF(ISBLANK('Control Entry'!K15),"",'Control Entry'!K15)</f>
        <v/>
      </c>
      <c r="G20" s="11"/>
      <c r="H20" s="35" t="s">
        <v>29</v>
      </c>
      <c r="J20" s="73" t="s">
        <v>45</v>
      </c>
      <c r="K20" s="73"/>
      <c r="L20" s="76"/>
      <c r="M20" s="76"/>
      <c r="N20" s="76"/>
      <c r="P20" s="24" t="s">
        <v>0</v>
      </c>
      <c r="Q20" s="24"/>
      <c r="S20" s="124">
        <f>'Control Entry'!B8</f>
        <v>0.25</v>
      </c>
      <c r="T20" s="124"/>
      <c r="U20" s="124"/>
    </row>
    <row r="21" spans="1:22" ht="36" customHeight="1" x14ac:dyDescent="0.2">
      <c r="A21" s="39"/>
      <c r="B21" s="40">
        <f>Control_7 Open_time</f>
        <v>44437.881249999999</v>
      </c>
      <c r="C21" s="40">
        <f>Control_7 Close_time</f>
        <v>44438.612500000003</v>
      </c>
      <c r="D21" s="47"/>
      <c r="E21" s="42" t="str">
        <f>IF(ISBLANK(Control_7 Establishment_1),"",Control_7 Establishment_1)</f>
        <v>272nd St @ River Rd</v>
      </c>
      <c r="F21" s="42" t="str">
        <f>IF(ISBLANK('Control Entry'!I16),"",'Control Entry'!I16)</f>
        <v/>
      </c>
      <c r="G21" s="10"/>
      <c r="H21" s="35" t="s">
        <v>29</v>
      </c>
      <c r="J21" s="73"/>
      <c r="K21" s="73"/>
      <c r="L21" s="71"/>
      <c r="M21" s="71"/>
      <c r="N21" s="71"/>
      <c r="P21" s="24"/>
      <c r="Q21" s="24"/>
      <c r="R21" s="29"/>
      <c r="S21" s="77"/>
      <c r="T21" s="77"/>
      <c r="U21" s="77"/>
      <c r="V21" s="36"/>
    </row>
    <row r="22" spans="1:22" ht="36" customHeight="1" thickBot="1" x14ac:dyDescent="0.25">
      <c r="A22" s="48">
        <f>IF(ISBLANK(Distance Control_7),"",Control_7 Distance)</f>
        <v>490.4</v>
      </c>
      <c r="B22" s="49">
        <f>Control_7 Open_time</f>
        <v>44437.881249999999</v>
      </c>
      <c r="C22" s="49">
        <f>Control_7 Close_time</f>
        <v>44438.612500000003</v>
      </c>
      <c r="D22" s="50" t="str">
        <f>IF(ISBLANK(Locale Control_7),"",Locale Control_7)</f>
        <v>Fort Langley</v>
      </c>
      <c r="E22" s="42" t="str">
        <f>IF(ISBLANK(Control_7 Establishment_2),"",Control_7 Establishment_2)</f>
        <v>Number on the POLE (not sign) on back of</v>
      </c>
      <c r="F22" s="42" t="str">
        <f>IF(ISBLANK('Control Entry'!J16),"",'Control Entry'!J16)</f>
        <v/>
      </c>
      <c r="G22" s="10"/>
      <c r="H22" s="35" t="s">
        <v>29</v>
      </c>
      <c r="J22" s="72" t="s">
        <v>46</v>
      </c>
      <c r="K22" s="72"/>
      <c r="L22" s="76"/>
      <c r="M22" s="76"/>
      <c r="N22" s="76"/>
      <c r="O22" s="25"/>
      <c r="P22" s="24" t="s">
        <v>1</v>
      </c>
      <c r="Q22" s="24"/>
      <c r="R22" s="25"/>
      <c r="S22" s="78"/>
      <c r="T22" s="78"/>
      <c r="U22" s="78"/>
    </row>
    <row r="23" spans="1:22" ht="36" customHeight="1" thickBot="1" x14ac:dyDescent="0.25">
      <c r="A23" s="43"/>
      <c r="B23" s="44">
        <f>Control_7 Open_time</f>
        <v>44437.881249999999</v>
      </c>
      <c r="C23" s="44">
        <f>Control_7 Close_time</f>
        <v>44438.612500000003</v>
      </c>
      <c r="D23" s="45"/>
      <c r="E23" s="46" t="str">
        <f>IF(ISBLANK(Control_7 Establishment_3),"",Control_7 Establishment_3)</f>
        <v>street signpost</v>
      </c>
      <c r="F23" s="46" t="str">
        <f>IF(ISBLANK('Control Entry'!K16),"",'Control Entry'!K16)</f>
        <v/>
      </c>
      <c r="G23" s="11"/>
      <c r="H23" s="35" t="s">
        <v>29</v>
      </c>
      <c r="J23" s="72"/>
      <c r="K23" s="72"/>
      <c r="L23" s="71"/>
      <c r="M23" s="71"/>
      <c r="N23" s="71"/>
      <c r="O23" s="29"/>
      <c r="P23" s="70"/>
      <c r="Q23" s="70"/>
      <c r="R23" s="29"/>
      <c r="S23" s="29"/>
      <c r="T23" s="29"/>
      <c r="U23" s="29"/>
      <c r="V23" s="36"/>
    </row>
    <row r="24" spans="1:22" ht="36" customHeight="1" thickBot="1" x14ac:dyDescent="0.25">
      <c r="A24" s="39"/>
      <c r="B24" s="40">
        <f>Control_8 Open_time</f>
        <v>44437.929861111108</v>
      </c>
      <c r="C24" s="40">
        <f>Control_8 Close_time</f>
        <v>44438.709027777775</v>
      </c>
      <c r="D24" s="47"/>
      <c r="E24" s="42" t="str">
        <f>IF(ISBLANK(Control_8 Establishment_1),"",Control_8 Establishment_1)</f>
        <v>Campbell Valley Park</v>
      </c>
      <c r="F24" s="42" t="str">
        <f>IF(ISBLANK('Control Entry'!I17),"",'Control Entry'!I17)</f>
        <v/>
      </c>
      <c r="G24" s="10"/>
      <c r="H24" s="35" t="s">
        <v>29</v>
      </c>
      <c r="J24" s="18"/>
      <c r="K24" s="18"/>
      <c r="L24" s="18"/>
      <c r="M24" s="26"/>
      <c r="N24" s="26"/>
      <c r="O24" s="25"/>
      <c r="P24" s="24" t="s">
        <v>2</v>
      </c>
      <c r="Q24" s="24"/>
      <c r="R24" s="25"/>
      <c r="S24" s="26"/>
      <c r="T24" s="26"/>
      <c r="U24" s="26"/>
    </row>
    <row r="25" spans="1:22" ht="36" customHeight="1" x14ac:dyDescent="0.2">
      <c r="A25" s="48">
        <f>IF(ISBLANK(Distance Control_8),"",Control_8 Distance)</f>
        <v>525.29999999999995</v>
      </c>
      <c r="B25" s="49">
        <f>Control_8 Open_time</f>
        <v>44437.929861111108</v>
      </c>
      <c r="C25" s="49">
        <f>Control_8 Close_time</f>
        <v>44438.709027777775</v>
      </c>
      <c r="D25" s="50" t="str">
        <f>IF(ISBLANK(Locale Control_8),"",Locale Control_8)</f>
        <v>Langley</v>
      </c>
      <c r="E25" s="67" t="str">
        <f>IF(ISBLANK(Control_8 Establishment_2),"",Control_8 Establishment_2)</f>
        <v>top sign on post to right of gate</v>
      </c>
      <c r="F25" s="42" t="str">
        <f>IF(ISBLANK('Control Entry'!J17),"",'Control Entry'!J17)</f>
        <v/>
      </c>
      <c r="G25" s="10"/>
      <c r="H25" s="35" t="s">
        <v>29</v>
      </c>
      <c r="J25" s="122" t="s">
        <v>17</v>
      </c>
      <c r="K25" s="122"/>
      <c r="L25" s="122"/>
      <c r="M25" s="122"/>
      <c r="N25" s="122"/>
      <c r="O25" s="63"/>
      <c r="P25" s="119"/>
      <c r="Q25" s="119"/>
      <c r="R25" s="63"/>
      <c r="S25" s="120"/>
      <c r="T25" s="120"/>
      <c r="U25" s="120"/>
      <c r="V25" s="120"/>
    </row>
    <row r="26" spans="1:22" ht="36" customHeight="1" thickBot="1" x14ac:dyDescent="0.25">
      <c r="A26" s="43"/>
      <c r="B26" s="44">
        <f>Control_8 Open_time</f>
        <v>44437.929861111108</v>
      </c>
      <c r="C26" s="44">
        <f>Control_8 Close_time</f>
        <v>44438.709027777775</v>
      </c>
      <c r="D26" s="45"/>
      <c r="E26" s="46" t="str">
        <f>IF(ISBLANK(Control_8 Establishment_3),"",Control_8 Establishment_3)</f>
        <v>____ must be ____</v>
      </c>
      <c r="F26" s="46" t="str">
        <f>IF(ISBLANK('Control Entry'!K17),"",'Control Entry'!K17)</f>
        <v/>
      </c>
      <c r="G26" s="11"/>
      <c r="H26" s="35" t="s">
        <v>29</v>
      </c>
    </row>
    <row r="27" spans="1:22" ht="36" customHeight="1" x14ac:dyDescent="0.2">
      <c r="A27" s="39"/>
      <c r="B27" s="40">
        <f>Control_9 Open_time</f>
        <v>44437.96875</v>
      </c>
      <c r="C27" s="40">
        <f>Control_9 Close_time</f>
        <v>44438.787499999999</v>
      </c>
      <c r="D27" s="47"/>
      <c r="E27" s="42" t="str">
        <f>IF(ISBLANK(Control_9 Establishment_1),"",Control_9 Establishment_1)</f>
        <v>Allard Cres</v>
      </c>
      <c r="F27" s="42" t="str">
        <f>IF(ISBLANK('Control Entry'!I18),"",'Control Entry'!I18)</f>
        <v/>
      </c>
      <c r="G27" s="10"/>
      <c r="H27" s="35" t="s">
        <v>29</v>
      </c>
      <c r="K27" s="118" t="s">
        <v>57</v>
      </c>
      <c r="L27" s="119"/>
      <c r="M27" s="62" t="s">
        <v>58</v>
      </c>
      <c r="N27" s="119" t="s">
        <v>50</v>
      </c>
      <c r="O27" s="119"/>
      <c r="P27" s="119" t="s">
        <v>51</v>
      </c>
      <c r="Q27" s="119"/>
      <c r="R27" s="63" t="s">
        <v>52</v>
      </c>
      <c r="S27" s="120" t="s">
        <v>53</v>
      </c>
      <c r="T27" s="120"/>
      <c r="U27" s="120" t="s">
        <v>54</v>
      </c>
      <c r="V27" s="120"/>
    </row>
    <row r="28" spans="1:22" ht="36" customHeight="1" x14ac:dyDescent="0.2">
      <c r="A28" s="48">
        <f>IF(ISBLANK(Distance Control_9),"",Control_9 Distance)</f>
        <v>553.5</v>
      </c>
      <c r="B28" s="49">
        <f>Control_9 Open_time</f>
        <v>44437.96875</v>
      </c>
      <c r="C28" s="49">
        <f>Control_9 Close_time</f>
        <v>44438.787499999999</v>
      </c>
      <c r="D28" s="50" t="str">
        <f>IF(ISBLANK(Locale Control_9),"",Locale Control_9)</f>
        <v>Fort Langley</v>
      </c>
      <c r="E28" s="42" t="str">
        <f>IF(ISBLANK(Control_9 Establishment_2),"",Control_9 Establishment_2)</f>
        <v>What animal is on the fort-to-fort</v>
      </c>
      <c r="F28" s="42" t="str">
        <f>IF(ISBLANK('Control Entry'!J18),"",'Control Entry'!J18)</f>
        <v/>
      </c>
      <c r="G28" s="10"/>
      <c r="H28" s="35" t="s">
        <v>29</v>
      </c>
    </row>
    <row r="29" spans="1:22" ht="36" customHeight="1" thickBot="1" x14ac:dyDescent="0.25">
      <c r="A29" s="43"/>
      <c r="B29" s="44">
        <f>Control_9 Open_time</f>
        <v>44437.96875</v>
      </c>
      <c r="C29" s="44">
        <f>Control_9 Close_time</f>
        <v>44438.787499999999</v>
      </c>
      <c r="D29" s="45"/>
      <c r="E29" s="46" t="str">
        <f>IF(ISBLANK(Control_9 Establishment_3),"",Control_9 Establishment_3)</f>
        <v>trail sign?</v>
      </c>
      <c r="F29" s="46" t="str">
        <f>IF(ISBLANK('Control Entry'!K18),"",'Control Entry'!K18)</f>
        <v/>
      </c>
      <c r="G29" s="11"/>
      <c r="H29" s="35" t="s">
        <v>29</v>
      </c>
      <c r="M29" s="128" t="s">
        <v>42</v>
      </c>
      <c r="N29" s="128"/>
      <c r="O29" s="128"/>
      <c r="P29" s="128"/>
      <c r="Q29" s="128"/>
      <c r="R29" s="128"/>
      <c r="S29" s="128"/>
      <c r="T29" s="128"/>
      <c r="U29" s="68"/>
    </row>
    <row r="30" spans="1:22" ht="36" customHeight="1" x14ac:dyDescent="0.2">
      <c r="A30" s="39"/>
      <c r="B30" s="40">
        <f>Control_10 Open_time</f>
        <v>44438.037499999999</v>
      </c>
      <c r="C30" s="40">
        <f>Control_10 Close_time</f>
        <v>44438.916666666664</v>
      </c>
      <c r="D30" s="47"/>
      <c r="E30" s="42" t="str">
        <f>IF(ISBLANK(Control_10 Establishment_1),"",Control_10 Establishment_1)</f>
        <v>Breka Café</v>
      </c>
      <c r="F30" s="42" t="str">
        <f>IF(ISBLANK('Control Entry'!I19),"",'Control Entry'!I19)</f>
        <v/>
      </c>
      <c r="G30" s="10"/>
      <c r="H30" s="35" t="s">
        <v>29</v>
      </c>
      <c r="M30" s="19"/>
      <c r="N30" s="27"/>
      <c r="O30" s="27"/>
      <c r="P30" s="28"/>
      <c r="Q30" s="27"/>
      <c r="R30" s="27"/>
      <c r="S30" s="27"/>
      <c r="T30" s="28"/>
      <c r="U30" s="29"/>
    </row>
    <row r="31" spans="1:22" ht="36" customHeight="1" x14ac:dyDescent="0.2">
      <c r="A31" s="48">
        <f>IF(ISBLANK(Distance Control_10),"",Control_10 Distance)</f>
        <v>602.6</v>
      </c>
      <c r="B31" s="49">
        <f>Control_10 Open_time</f>
        <v>44438.037499999999</v>
      </c>
      <c r="C31" s="49">
        <f>Control_10 Close_time</f>
        <v>44438.916666666664</v>
      </c>
      <c r="D31" s="50" t="str">
        <f>IF(ISBLANK(Locale Control_10),"",Locale Control_10)</f>
        <v>Vancouver</v>
      </c>
      <c r="E31" s="42" t="str">
        <f>IF(ISBLANK(Control_10 Establishment_2),"",Control_10 Establishment_2)</f>
        <v>Signature (and also sign your control card!)</v>
      </c>
      <c r="F31" s="42" t="str">
        <f>IF(ISBLANK('Control Entry'!J19),"",'Control Entry'!J19)</f>
        <v/>
      </c>
      <c r="G31" s="10"/>
      <c r="H31" s="35" t="s">
        <v>29</v>
      </c>
      <c r="M31" s="20"/>
      <c r="N31" s="29"/>
      <c r="O31" s="29"/>
      <c r="P31" s="30"/>
      <c r="Q31" s="29"/>
      <c r="R31" s="29"/>
      <c r="S31" s="29"/>
      <c r="T31" s="30"/>
      <c r="U31" s="29"/>
    </row>
    <row r="32" spans="1:22" ht="36" customHeight="1" thickBot="1" x14ac:dyDescent="0.25">
      <c r="A32" s="43"/>
      <c r="B32" s="44">
        <f>Control_10 Open_time</f>
        <v>44438.037499999999</v>
      </c>
      <c r="C32" s="44">
        <f>Control_10 Close_time</f>
        <v>44438.916666666664</v>
      </c>
      <c r="D32" s="45"/>
      <c r="E32" s="46" t="str">
        <f>IF(ISBLANK(Control_10 Establishment_3),"",Control_10 Establishment_3)</f>
        <v/>
      </c>
      <c r="F32" s="46" t="str">
        <f>IF(ISBLANK('Control Entry'!K19),"",'Control Entry'!K19)</f>
        <v/>
      </c>
      <c r="G32" s="11"/>
      <c r="H32" s="35" t="s">
        <v>29</v>
      </c>
      <c r="M32" s="66"/>
      <c r="N32" s="26"/>
      <c r="O32" s="26"/>
      <c r="P32" s="31"/>
      <c r="Q32" s="26"/>
      <c r="R32" s="26"/>
      <c r="S32" s="26"/>
      <c r="T32" s="31"/>
      <c r="U32" s="29"/>
    </row>
    <row r="33" spans="1:22" ht="36" customHeight="1" x14ac:dyDescent="0.2">
      <c r="A33" s="117" t="s">
        <v>43</v>
      </c>
      <c r="B33" s="117"/>
      <c r="C33" s="117"/>
      <c r="D33" s="117"/>
      <c r="E33" s="117"/>
      <c r="F33" s="117"/>
      <c r="G33" s="117"/>
      <c r="H33" s="51"/>
      <c r="I33" s="51"/>
      <c r="N33" s="129"/>
      <c r="O33" s="129"/>
      <c r="P33" s="129"/>
      <c r="Q33" s="129"/>
      <c r="R33" s="129"/>
      <c r="S33" s="129"/>
      <c r="T33" s="129"/>
      <c r="U33" s="129"/>
      <c r="V33" s="61"/>
    </row>
    <row r="34" spans="1:22" ht="36" customHeight="1" x14ac:dyDescent="0.2">
      <c r="A34"/>
      <c r="O34" s="59"/>
      <c r="P34" s="59"/>
      <c r="Q34" s="59"/>
      <c r="R34" s="58"/>
    </row>
    <row r="35" spans="1:22" ht="36" customHeight="1" x14ac:dyDescent="0.2">
      <c r="A35"/>
      <c r="N35" s="128"/>
      <c r="O35" s="128"/>
      <c r="P35" s="128"/>
      <c r="Q35" s="128"/>
      <c r="R35" s="128"/>
      <c r="S35" s="128"/>
      <c r="T35" s="128"/>
      <c r="U35" s="128"/>
    </row>
    <row r="36" spans="1:22" ht="36" customHeight="1" x14ac:dyDescent="0.15">
      <c r="A36"/>
      <c r="N36" s="36"/>
      <c r="O36" s="29"/>
      <c r="P36" s="29"/>
      <c r="Q36" s="29"/>
      <c r="R36" s="29"/>
      <c r="S36" s="29"/>
      <c r="T36" s="29"/>
      <c r="U36" s="29"/>
    </row>
    <row r="37" spans="1:22" ht="36" customHeight="1" x14ac:dyDescent="0.15">
      <c r="A37"/>
      <c r="N37" s="36"/>
      <c r="O37" s="29"/>
      <c r="P37" s="29"/>
      <c r="Q37" s="29"/>
      <c r="R37" s="29"/>
      <c r="S37" s="29"/>
      <c r="T37" s="29"/>
      <c r="U37" s="29"/>
    </row>
    <row r="38" spans="1:22" ht="36" customHeight="1" x14ac:dyDescent="0.2">
      <c r="A38"/>
      <c r="N38" s="69"/>
      <c r="O38" s="29"/>
      <c r="P38" s="29"/>
      <c r="Q38" s="29"/>
      <c r="R38" s="29"/>
      <c r="S38" s="29"/>
      <c r="T38" s="29"/>
      <c r="U38" s="29"/>
    </row>
    <row r="39" spans="1:22" ht="36" customHeight="1" x14ac:dyDescent="0.15">
      <c r="A39"/>
    </row>
    <row r="40" spans="1:22" ht="36" customHeight="1" x14ac:dyDescent="0.15">
      <c r="A40"/>
    </row>
  </sheetData>
  <mergeCells count="24">
    <mergeCell ref="T8:U8"/>
    <mergeCell ref="N35:U35"/>
    <mergeCell ref="M29:T29"/>
    <mergeCell ref="N27:O27"/>
    <mergeCell ref="P27:Q27"/>
    <mergeCell ref="S27:T27"/>
    <mergeCell ref="U27:V27"/>
    <mergeCell ref="N33:U33"/>
    <mergeCell ref="R5:U5"/>
    <mergeCell ref="K2:U2"/>
    <mergeCell ref="L8:Q8"/>
    <mergeCell ref="A1:G1"/>
    <mergeCell ref="A33:G33"/>
    <mergeCell ref="M4:T4"/>
    <mergeCell ref="P25:Q25"/>
    <mergeCell ref="S25:T25"/>
    <mergeCell ref="U25:V25"/>
    <mergeCell ref="N5:O5"/>
    <mergeCell ref="K27:L27"/>
    <mergeCell ref="J25:N25"/>
    <mergeCell ref="O3:R3"/>
    <mergeCell ref="S20:U20"/>
    <mergeCell ref="L15:U15"/>
    <mergeCell ref="L6:U6"/>
  </mergeCells>
  <phoneticPr fontId="16" type="noConversion"/>
  <pageMargins left="0.2" right="0.2" top="0.2" bottom="0.2" header="0.51" footer="0.51"/>
  <pageSetup scale="45" orientation="landscape"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zoomScale="92" zoomScaleNormal="92" zoomScalePageLayoutView="92" workbookViewId="0">
      <selection activeCell="L8" sqref="L8:Q8"/>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style="36" customWidth="1"/>
    <col min="9" max="9" width="12" customWidth="1"/>
    <col min="18" max="19" width="8.83203125" customWidth="1"/>
  </cols>
  <sheetData>
    <row r="1" spans="1:22" ht="21" thickBot="1" x14ac:dyDescent="0.2">
      <c r="A1" s="116" t="s">
        <v>44</v>
      </c>
      <c r="B1" s="116"/>
      <c r="C1" s="116"/>
      <c r="D1" s="116"/>
      <c r="E1" s="116"/>
      <c r="F1" s="116"/>
      <c r="G1" s="116"/>
      <c r="H1" s="35" t="s">
        <v>29</v>
      </c>
    </row>
    <row r="2" spans="1:22" ht="33.75" customHeight="1" thickBot="1" x14ac:dyDescent="0.25">
      <c r="A2" s="95" t="s">
        <v>30</v>
      </c>
      <c r="B2" s="9" t="s">
        <v>3</v>
      </c>
      <c r="C2" s="9" t="s">
        <v>4</v>
      </c>
      <c r="D2" s="9" t="s">
        <v>25</v>
      </c>
      <c r="E2" s="9" t="s">
        <v>31</v>
      </c>
      <c r="F2" s="9" t="s">
        <v>60</v>
      </c>
      <c r="G2" s="95" t="s">
        <v>32</v>
      </c>
      <c r="H2" s="35" t="s">
        <v>29</v>
      </c>
      <c r="K2" s="114" t="s">
        <v>56</v>
      </c>
      <c r="L2" s="114"/>
      <c r="M2" s="114"/>
      <c r="N2" s="114"/>
      <c r="O2" s="114"/>
      <c r="P2" s="114"/>
      <c r="Q2" s="114"/>
      <c r="R2" s="114"/>
      <c r="S2" s="114"/>
      <c r="T2" s="114"/>
      <c r="U2" s="114"/>
    </row>
    <row r="3" spans="1:22" ht="36" customHeight="1" x14ac:dyDescent="0.45">
      <c r="A3" s="39"/>
      <c r="B3" s="40" t="str">
        <f>'Control Entry'!N23</f>
        <v/>
      </c>
      <c r="C3" s="40" t="str">
        <f>'Control Entry'!O23</f>
        <v/>
      </c>
      <c r="D3" s="41"/>
      <c r="E3" s="42" t="str">
        <f>IF(ISBLANK('Control Entry'!F23),"",'Control Entry'!F23)</f>
        <v/>
      </c>
      <c r="F3" s="42" t="str">
        <f>IF(ISBLANK('Control Entry'!I23),"",'Control Entry'!I23)</f>
        <v/>
      </c>
      <c r="G3" s="10"/>
      <c r="H3" s="35" t="s">
        <v>29</v>
      </c>
      <c r="K3" s="16"/>
      <c r="N3" s="123" t="s">
        <v>62</v>
      </c>
      <c r="O3" s="123"/>
      <c r="P3" s="123"/>
      <c r="Q3" s="123"/>
      <c r="R3" s="123"/>
      <c r="S3" s="123"/>
      <c r="T3" s="52"/>
      <c r="U3" s="52"/>
    </row>
    <row r="4" spans="1:22" ht="36" customHeight="1" x14ac:dyDescent="0.2">
      <c r="A4" s="48" t="str">
        <f>IF(ISBLANK('Control Entry'!D23),"",'Control Entry'!D23)</f>
        <v/>
      </c>
      <c r="B4" s="49" t="str">
        <f>'Control Entry'!N23</f>
        <v/>
      </c>
      <c r="C4" s="49" t="str">
        <f>'Control Entry'!O23</f>
        <v/>
      </c>
      <c r="D4" s="50" t="str">
        <f>IF(ISBLANK('Control Entry'!E23),"",'Control Entry'!E23)</f>
        <v/>
      </c>
      <c r="E4" s="42" t="str">
        <f>IF(ISBLANK('Control Entry'!G23),"",'Control Entry'!G23)</f>
        <v/>
      </c>
      <c r="F4" s="42" t="str">
        <f>IF(ISBLANK('Control Entry'!J23),"",'Control Entry'!J23)</f>
        <v/>
      </c>
      <c r="G4" s="10"/>
      <c r="H4" s="35" t="s">
        <v>29</v>
      </c>
      <c r="K4" s="16"/>
      <c r="M4" s="118" t="str">
        <f>IF(ISBLANK(brevet),"",brevet&amp;" km Randonnée")</f>
        <v>600 km Randonnée</v>
      </c>
      <c r="N4" s="118"/>
      <c r="O4" s="118"/>
      <c r="P4" s="118"/>
      <c r="Q4" s="118"/>
      <c r="R4" s="118"/>
      <c r="S4" s="118"/>
      <c r="T4" s="118"/>
      <c r="U4" s="53"/>
    </row>
    <row r="5" spans="1:22" ht="36" customHeight="1" thickBot="1" x14ac:dyDescent="0.25">
      <c r="A5" s="43"/>
      <c r="B5" s="44" t="str">
        <f>'Control Entry'!N23</f>
        <v/>
      </c>
      <c r="C5" s="44" t="str">
        <f>'Control Entry'!O23</f>
        <v/>
      </c>
      <c r="D5" s="45"/>
      <c r="E5" s="46" t="str">
        <f>IF(ISBLANK('Control Entry'!H23),"",'Control Entry'!H23)</f>
        <v/>
      </c>
      <c r="F5" s="46" t="str">
        <f>IF(ISBLANK('Control Entry'!K23),"",'Control Entry'!K23)</f>
        <v/>
      </c>
      <c r="G5" s="11"/>
      <c r="H5" s="35" t="s">
        <v>29</v>
      </c>
      <c r="K5" s="16"/>
      <c r="M5" s="17"/>
      <c r="N5" s="121" t="s">
        <v>48</v>
      </c>
      <c r="O5" s="121"/>
      <c r="P5" s="81">
        <f>IF(ISBLANK(Brevet_Number),"",Brevet_Number)</f>
        <v>5087</v>
      </c>
      <c r="Q5" s="82"/>
      <c r="R5" s="113" t="str">
        <f>IF(ISBLANK('Control Entry'!$B5),"",'Control Entry'!$B5)</f>
        <v>&lt;ride window&gt;</v>
      </c>
      <c r="S5" s="113"/>
      <c r="T5" s="113"/>
      <c r="U5" s="113"/>
      <c r="V5" s="54"/>
    </row>
    <row r="6" spans="1:22" ht="36" customHeight="1" x14ac:dyDescent="0.2">
      <c r="A6" s="39"/>
      <c r="B6" s="40" t="str">
        <f>'Control Entry'!N24</f>
        <v/>
      </c>
      <c r="C6" s="40" t="str">
        <f>'Control Entry'!O24</f>
        <v/>
      </c>
      <c r="D6" s="47"/>
      <c r="E6" s="42" t="str">
        <f>IF(ISBLANK('Control Entry'!F24),"",'Control Entry'!F24)</f>
        <v/>
      </c>
      <c r="F6" s="42" t="str">
        <f>IF(ISBLANK('Control Entry'!I24),"",'Control Entry'!I24)</f>
        <v/>
      </c>
      <c r="G6" s="10"/>
      <c r="H6" s="35" t="s">
        <v>29</v>
      </c>
      <c r="K6" s="16"/>
      <c r="L6" s="126" t="str">
        <f>IF(ISBLANK(Brevet_Description),"",Brevet_Description)</f>
        <v>BAPAPAB</v>
      </c>
      <c r="M6" s="126"/>
      <c r="N6" s="126"/>
      <c r="O6" s="126"/>
      <c r="P6" s="126"/>
      <c r="Q6" s="126"/>
      <c r="R6" s="126"/>
      <c r="S6" s="126"/>
      <c r="T6" s="126"/>
      <c r="U6" s="126"/>
    </row>
    <row r="7" spans="1:22" ht="36" customHeight="1" x14ac:dyDescent="0.2">
      <c r="A7" s="48" t="str">
        <f>IF(ISBLANK('Control Entry'!D24),"",'Control Entry'!D24)</f>
        <v/>
      </c>
      <c r="B7" s="49" t="str">
        <f>'Control Entry'!N24</f>
        <v/>
      </c>
      <c r="C7" s="49" t="str">
        <f>'Control Entry'!O24</f>
        <v/>
      </c>
      <c r="D7" s="50" t="str">
        <f>IF(ISBLANK('Control Entry'!E24),"",'Control Entry'!E24)</f>
        <v/>
      </c>
      <c r="E7" s="42" t="str">
        <f>IF(ISBLANK('Control Entry'!G24),"",'Control Entry'!G24)</f>
        <v/>
      </c>
      <c r="F7" s="42" t="str">
        <f>IF(ISBLANK('Control Entry'!J24),"",'Control Entry'!J24)</f>
        <v/>
      </c>
      <c r="G7" s="10"/>
      <c r="H7" s="35" t="s">
        <v>29</v>
      </c>
    </row>
    <row r="8" spans="1:22" ht="36" customHeight="1" thickBot="1" x14ac:dyDescent="0.25">
      <c r="A8" s="43"/>
      <c r="B8" s="44" t="str">
        <f>'Control Entry'!N24</f>
        <v/>
      </c>
      <c r="C8" s="44" t="str">
        <f>'Control Entry'!O24</f>
        <v/>
      </c>
      <c r="D8" s="45"/>
      <c r="E8" s="46" t="str">
        <f>IF(ISBLANK('Control Entry'!H24),"",'Control Entry'!H24)</f>
        <v/>
      </c>
      <c r="F8" s="46" t="str">
        <f>IF(ISBLANK('Control Entry'!K24),"",'Control Entry'!K24)</f>
        <v/>
      </c>
      <c r="G8" s="11"/>
      <c r="H8" s="35" t="s">
        <v>29</v>
      </c>
      <c r="J8" s="17" t="s">
        <v>34</v>
      </c>
      <c r="L8" s="115" t="str">
        <f>IF(ISBLANK('Control Card #1'!L8:Q8),"",'Control Card #1'!L8:Q8)</f>
        <v/>
      </c>
      <c r="M8" s="115"/>
      <c r="N8" s="115"/>
      <c r="O8" s="115"/>
      <c r="P8" s="115"/>
      <c r="Q8" s="115"/>
      <c r="R8" s="36"/>
      <c r="S8" s="55" t="s">
        <v>47</v>
      </c>
      <c r="T8" s="130" t="str">
        <f>IF(ISBLANK('Control Card #1'!T8:U8),"",'Control Card #1'!T8:U8)</f>
        <v/>
      </c>
      <c r="U8" s="130"/>
    </row>
    <row r="9" spans="1:22" ht="36" customHeight="1" x14ac:dyDescent="0.2">
      <c r="A9" s="39"/>
      <c r="B9" s="40" t="str">
        <f>'Control Entry'!N25</f>
        <v/>
      </c>
      <c r="C9" s="40" t="str">
        <f>'Control Entry'!O25</f>
        <v/>
      </c>
      <c r="D9" s="47"/>
      <c r="E9" s="42" t="str">
        <f>IF(ISBLANK('Control Entry'!F25),"",'Control Entry'!F25)</f>
        <v/>
      </c>
      <c r="F9" s="42" t="str">
        <f>IF(ISBLANK('Control Entry'!I25),"",'Control Entry'!I25)</f>
        <v/>
      </c>
      <c r="G9" s="10"/>
      <c r="H9" s="35" t="s">
        <v>29</v>
      </c>
    </row>
    <row r="10" spans="1:22" ht="36" customHeight="1" x14ac:dyDescent="0.2">
      <c r="A10" s="48" t="str">
        <f>IF(ISBLANK('Control Entry'!D25),"",'Control Entry'!D25)</f>
        <v/>
      </c>
      <c r="B10" s="49" t="str">
        <f>'Control Entry'!N25</f>
        <v/>
      </c>
      <c r="C10" s="49" t="str">
        <f>'Control Entry'!O25</f>
        <v/>
      </c>
      <c r="D10" s="50" t="str">
        <f>IF(ISBLANK('Control Entry'!E25),"",'Control Entry'!E25)</f>
        <v/>
      </c>
      <c r="E10" s="42" t="str">
        <f>IF(ISBLANK('Control Entry'!G25),"",'Control Entry'!G25)</f>
        <v/>
      </c>
      <c r="F10" s="42" t="str">
        <f>IF(ISBLANK('Control Entry'!J25),"",'Control Entry'!J25)</f>
        <v/>
      </c>
      <c r="G10" s="10"/>
      <c r="H10" s="35" t="s">
        <v>29</v>
      </c>
    </row>
    <row r="11" spans="1:22" ht="36" customHeight="1" thickBot="1" x14ac:dyDescent="0.25">
      <c r="A11" s="43"/>
      <c r="B11" s="44" t="str">
        <f>'Control Entry'!N25</f>
        <v/>
      </c>
      <c r="C11" s="44" t="str">
        <f>'Control Entry'!O25</f>
        <v/>
      </c>
      <c r="D11" s="45"/>
      <c r="E11" s="46" t="str">
        <f>IF(ISBLANK('Control Entry'!H25),"",'Control Entry'!H25)</f>
        <v/>
      </c>
      <c r="F11" s="46" t="str">
        <f>IF(ISBLANK('Control Entry'!K25),"",'Control Entry'!K25)</f>
        <v/>
      </c>
      <c r="G11" s="11"/>
      <c r="H11" s="35" t="s">
        <v>29</v>
      </c>
    </row>
    <row r="12" spans="1:22" ht="36" customHeight="1" x14ac:dyDescent="0.2">
      <c r="A12" s="39"/>
      <c r="B12" s="40" t="str">
        <f>'Control Entry'!N26</f>
        <v/>
      </c>
      <c r="C12" s="40" t="str">
        <f>'Control Entry'!O26</f>
        <v/>
      </c>
      <c r="D12" s="47"/>
      <c r="E12" s="42" t="str">
        <f>IF(ISBLANK('Control Entry'!F26),"",'Control Entry'!F26)</f>
        <v/>
      </c>
      <c r="F12" s="42" t="str">
        <f>IF(ISBLANK('Control Entry'!I26),"",'Control Entry'!I26)</f>
        <v/>
      </c>
      <c r="G12" s="10"/>
      <c r="H12" s="35" t="s">
        <v>29</v>
      </c>
    </row>
    <row r="13" spans="1:22" ht="36" customHeight="1" x14ac:dyDescent="0.2">
      <c r="A13" s="48" t="str">
        <f>IF(ISBLANK('Control Entry'!D26),"",'Control Entry'!D26)</f>
        <v/>
      </c>
      <c r="B13" s="49" t="str">
        <f>'Control Entry'!N26</f>
        <v/>
      </c>
      <c r="C13" s="49" t="str">
        <f>'Control Entry'!O26</f>
        <v/>
      </c>
      <c r="D13" s="50" t="str">
        <f>IF(ISBLANK('Control Entry'!E26),"",'Control Entry'!E26)</f>
        <v/>
      </c>
      <c r="E13" s="42" t="str">
        <f>IF(ISBLANK('Control Entry'!G26),"",'Control Entry'!G26)</f>
        <v/>
      </c>
      <c r="F13" s="42" t="str">
        <f>IF(ISBLANK('Control Entry'!J26),"",'Control Entry'!J26)</f>
        <v/>
      </c>
      <c r="G13" s="10"/>
      <c r="H13" s="35" t="s">
        <v>29</v>
      </c>
    </row>
    <row r="14" spans="1:22" ht="36" customHeight="1" thickBot="1" x14ac:dyDescent="0.25">
      <c r="A14" s="43"/>
      <c r="B14" s="44" t="str">
        <f>'Control Entry'!N26</f>
        <v/>
      </c>
      <c r="C14" s="44" t="str">
        <f>'Control Entry'!O26</f>
        <v/>
      </c>
      <c r="D14" s="45"/>
      <c r="E14" s="46" t="str">
        <f>IF(ISBLANK('Control Entry'!H26),"",'Control Entry'!H26)</f>
        <v/>
      </c>
      <c r="F14" s="46" t="str">
        <f>IF(ISBLANK('Control Entry'!K26),"",'Control Entry'!K26)</f>
        <v/>
      </c>
      <c r="G14" s="11"/>
      <c r="H14" s="35" t="s">
        <v>29</v>
      </c>
    </row>
    <row r="15" spans="1:22" ht="36" customHeight="1" x14ac:dyDescent="0.2">
      <c r="A15" s="39"/>
      <c r="B15" s="40" t="str">
        <f>'Control Entry'!N27</f>
        <v/>
      </c>
      <c r="C15" s="40" t="str">
        <f>'Control Entry'!O27</f>
        <v/>
      </c>
      <c r="D15" s="47"/>
      <c r="E15" s="42" t="str">
        <f>IF(ISBLANK('Control Entry'!F27),"",'Control Entry'!F27)</f>
        <v/>
      </c>
      <c r="F15" s="42" t="str">
        <f>IF(ISBLANK('Control Entry'!I27),"",'Control Entry'!I27)</f>
        <v/>
      </c>
      <c r="G15" s="10"/>
      <c r="H15" s="35" t="s">
        <v>29</v>
      </c>
    </row>
    <row r="16" spans="1:22" ht="36" customHeight="1" x14ac:dyDescent="0.2">
      <c r="A16" s="48" t="str">
        <f>IF(ISBLANK('Control Entry'!D27),"",'Control Entry'!D27)</f>
        <v/>
      </c>
      <c r="B16" s="49" t="str">
        <f>'Control Entry'!N27</f>
        <v/>
      </c>
      <c r="C16" s="49" t="str">
        <f>'Control Entry'!O27</f>
        <v/>
      </c>
      <c r="D16" s="50" t="str">
        <f>IF(ISBLANK('Control Entry'!E27),"",'Control Entry'!E27)</f>
        <v/>
      </c>
      <c r="E16" s="42" t="str">
        <f>IF(ISBLANK('Control Entry'!G27),"",'Control Entry'!G27)</f>
        <v/>
      </c>
      <c r="F16" s="42" t="str">
        <f>IF(ISBLANK('Control Entry'!J27),"",'Control Entry'!J27)</f>
        <v/>
      </c>
      <c r="G16" s="10"/>
      <c r="H16" s="35" t="s">
        <v>29</v>
      </c>
    </row>
    <row r="17" spans="1:21" ht="36" customHeight="1" thickBot="1" x14ac:dyDescent="0.25">
      <c r="A17" s="43"/>
      <c r="B17" s="44" t="str">
        <f>'Control Entry'!N27</f>
        <v/>
      </c>
      <c r="C17" s="44" t="str">
        <f>'Control Entry'!O27</f>
        <v/>
      </c>
      <c r="D17" s="45"/>
      <c r="E17" s="46" t="str">
        <f>IF(ISBLANK('Control Entry'!H27),"",'Control Entry'!H27)</f>
        <v/>
      </c>
      <c r="F17" s="46" t="str">
        <f>IF(ISBLANK('Control Entry'!K27),"",'Control Entry'!K27)</f>
        <v/>
      </c>
      <c r="G17" s="11"/>
      <c r="H17" s="35" t="s">
        <v>29</v>
      </c>
    </row>
    <row r="18" spans="1:21" ht="36" customHeight="1" thickBot="1" x14ac:dyDescent="0.25">
      <c r="A18" s="39"/>
      <c r="B18" s="40" t="str">
        <f>'Control Entry'!N28</f>
        <v/>
      </c>
      <c r="C18" s="40" t="str">
        <f>'Control Entry'!O28</f>
        <v/>
      </c>
      <c r="D18" s="47"/>
      <c r="E18" s="42" t="str">
        <f>IF(ISBLANK('Control Entry'!F28),"",'Control Entry'!F28)</f>
        <v/>
      </c>
      <c r="F18" s="42" t="str">
        <f>IF(ISBLANK('Control Entry'!I28),"",'Control Entry'!I28)</f>
        <v/>
      </c>
      <c r="G18" s="10"/>
      <c r="H18" s="35" t="s">
        <v>29</v>
      </c>
      <c r="N18" s="132"/>
      <c r="O18" s="132"/>
      <c r="P18" s="132"/>
      <c r="Q18" s="132"/>
      <c r="R18" s="132"/>
      <c r="S18" s="132"/>
    </row>
    <row r="19" spans="1:21" ht="36" customHeight="1" x14ac:dyDescent="0.2">
      <c r="A19" s="48" t="str">
        <f>IF(ISBLANK('Control Entry'!D28),"",'Control Entry'!D28)</f>
        <v/>
      </c>
      <c r="B19" s="49" t="str">
        <f>'Control Entry'!N28</f>
        <v/>
      </c>
      <c r="C19" s="49" t="str">
        <f>'Control Entry'!O28</f>
        <v/>
      </c>
      <c r="D19" s="50" t="str">
        <f>IF(ISBLANK('Control Entry'!E28),"",'Control Entry'!E28)</f>
        <v/>
      </c>
      <c r="E19" s="42" t="str">
        <f>IF(ISBLANK('Control Entry'!G28),"",'Control Entry'!G28)</f>
        <v/>
      </c>
      <c r="F19" s="42" t="str">
        <f>IF(ISBLANK('Control Entry'!J28),"",'Control Entry'!J28)</f>
        <v/>
      </c>
      <c r="G19" s="10"/>
      <c r="H19" s="35" t="s">
        <v>29</v>
      </c>
      <c r="N19" s="122" t="s">
        <v>17</v>
      </c>
      <c r="O19" s="122"/>
      <c r="P19" s="122"/>
      <c r="Q19" s="122"/>
      <c r="R19" s="122"/>
      <c r="S19" s="122"/>
    </row>
    <row r="20" spans="1:21" ht="36" customHeight="1" thickBot="1" x14ac:dyDescent="0.25">
      <c r="A20" s="43"/>
      <c r="B20" s="44" t="str">
        <f>'Control Entry'!N28</f>
        <v/>
      </c>
      <c r="C20" s="44" t="str">
        <f>'Control Entry'!O28</f>
        <v/>
      </c>
      <c r="D20" s="45"/>
      <c r="E20" s="46" t="str">
        <f>IF(ISBLANK('Control Entry'!H28),"",'Control Entry'!H28)</f>
        <v/>
      </c>
      <c r="F20" s="46" t="str">
        <f>IF(ISBLANK('Control Entry'!K28),"",'Control Entry'!K28)</f>
        <v/>
      </c>
      <c r="G20" s="11"/>
      <c r="H20" s="35" t="s">
        <v>29</v>
      </c>
    </row>
    <row r="21" spans="1:21" ht="36" customHeight="1" x14ac:dyDescent="0.2">
      <c r="A21" s="39"/>
      <c r="B21" s="40" t="str">
        <f>'Control Entry'!N29</f>
        <v/>
      </c>
      <c r="C21" s="40" t="str">
        <f>'Control Entry'!O29</f>
        <v/>
      </c>
      <c r="D21" s="47"/>
      <c r="E21" s="42" t="str">
        <f>IF(ISBLANK('Control Entry'!F29),"",'Control Entry'!F29)</f>
        <v/>
      </c>
      <c r="F21" s="42" t="str">
        <f>IF(ISBLANK('Control Entry'!I29),"",'Control Entry'!I29)</f>
        <v/>
      </c>
      <c r="G21" s="10"/>
      <c r="H21" s="35" t="s">
        <v>29</v>
      </c>
      <c r="L21" s="131" t="s">
        <v>63</v>
      </c>
      <c r="M21" s="131"/>
      <c r="N21" s="131"/>
      <c r="O21" s="131"/>
      <c r="P21" s="131"/>
      <c r="Q21" s="131"/>
      <c r="R21" s="131"/>
      <c r="S21" s="131"/>
      <c r="T21" s="131"/>
      <c r="U21" s="131"/>
    </row>
    <row r="22" spans="1:21" ht="36" customHeight="1" x14ac:dyDescent="0.2">
      <c r="A22" s="48" t="str">
        <f>IF(ISBLANK('Control Entry'!D29),"",'Control Entry'!D29)</f>
        <v/>
      </c>
      <c r="B22" s="49" t="str">
        <f>'Control Entry'!N29</f>
        <v/>
      </c>
      <c r="C22" s="49" t="str">
        <f>'Control Entry'!O29</f>
        <v/>
      </c>
      <c r="D22" s="50" t="str">
        <f>IF(ISBLANK('Control Entry'!E29),"",'Control Entry'!E29)</f>
        <v/>
      </c>
      <c r="E22" s="42" t="str">
        <f>IF(ISBLANK('Control Entry'!G29),"",'Control Entry'!G29)</f>
        <v/>
      </c>
      <c r="F22" s="42" t="str">
        <f>IF(ISBLANK('Control Entry'!J29),"",'Control Entry'!J29)</f>
        <v/>
      </c>
      <c r="G22" s="10"/>
      <c r="H22" s="35" t="s">
        <v>29</v>
      </c>
    </row>
    <row r="23" spans="1:21" ht="36" customHeight="1" thickBot="1" x14ac:dyDescent="0.25">
      <c r="A23" s="43"/>
      <c r="B23" s="44" t="str">
        <f>'Control Entry'!N29</f>
        <v/>
      </c>
      <c r="C23" s="44" t="str">
        <f>'Control Entry'!O29</f>
        <v/>
      </c>
      <c r="D23" s="45"/>
      <c r="E23" s="46" t="str">
        <f>IF(ISBLANK('Control Entry'!H29),"",'Control Entry'!H29)</f>
        <v/>
      </c>
      <c r="F23" s="46" t="str">
        <f>IF(ISBLANK('Control Entry'!K29),"",'Control Entry'!K29)</f>
        <v/>
      </c>
      <c r="G23" s="11"/>
      <c r="H23" s="35" t="s">
        <v>29</v>
      </c>
    </row>
    <row r="24" spans="1:21" ht="36" customHeight="1" x14ac:dyDescent="0.2">
      <c r="A24" s="39"/>
      <c r="B24" s="40" t="str">
        <f>'Control Entry'!N30</f>
        <v/>
      </c>
      <c r="C24" s="40" t="str">
        <f>'Control Entry'!O30</f>
        <v/>
      </c>
      <c r="D24" s="47"/>
      <c r="E24" s="42" t="str">
        <f>IF(ISBLANK('Control Entry'!F30),"",'Control Entry'!F30)</f>
        <v/>
      </c>
      <c r="F24" s="42" t="str">
        <f>IF(ISBLANK('Control Entry'!I30),"",'Control Entry'!I30)</f>
        <v/>
      </c>
      <c r="G24" s="10"/>
      <c r="H24" s="35" t="s">
        <v>29</v>
      </c>
    </row>
    <row r="25" spans="1:21" ht="36" customHeight="1" x14ac:dyDescent="0.2">
      <c r="A25" s="48" t="str">
        <f>IF(ISBLANK('Control Entry'!D30),"",'Control Entry'!D30)</f>
        <v/>
      </c>
      <c r="B25" s="49" t="str">
        <f>'Control Entry'!N30</f>
        <v/>
      </c>
      <c r="C25" s="49" t="str">
        <f>'Control Entry'!O30</f>
        <v/>
      </c>
      <c r="D25" s="50" t="str">
        <f>IF(ISBLANK('Control Entry'!E30),"",'Control Entry'!E30)</f>
        <v/>
      </c>
      <c r="E25" s="42" t="str">
        <f>IF(ISBLANK('Control Entry'!G30),"",'Control Entry'!G30)</f>
        <v/>
      </c>
      <c r="F25" s="42" t="str">
        <f>IF(ISBLANK('Control Entry'!J30),"",'Control Entry'!J30)</f>
        <v/>
      </c>
      <c r="G25" s="10"/>
      <c r="H25" s="35" t="s">
        <v>29</v>
      </c>
    </row>
    <row r="26" spans="1:21" ht="36" customHeight="1" thickBot="1" x14ac:dyDescent="0.25">
      <c r="A26" s="43"/>
      <c r="B26" s="44" t="str">
        <f>'Control Entry'!N30</f>
        <v/>
      </c>
      <c r="C26" s="44" t="str">
        <f>'Control Entry'!O30</f>
        <v/>
      </c>
      <c r="D26" s="45"/>
      <c r="E26" s="46" t="str">
        <f>IF(ISBLANK('Control Entry'!H30),"",'Control Entry'!H30)</f>
        <v/>
      </c>
      <c r="F26" s="46" t="str">
        <f>IF(ISBLANK('Control Entry'!K30),"",'Control Entry'!K30)</f>
        <v/>
      </c>
      <c r="G26" s="11"/>
      <c r="H26" s="35" t="s">
        <v>29</v>
      </c>
    </row>
    <row r="27" spans="1:21" ht="36" customHeight="1" x14ac:dyDescent="0.2">
      <c r="A27" s="39"/>
      <c r="B27" s="40" t="str">
        <f>'Control Entry'!N31</f>
        <v/>
      </c>
      <c r="C27" s="40" t="str">
        <f>'Control Entry'!O31</f>
        <v/>
      </c>
      <c r="D27" s="47"/>
      <c r="E27" s="42" t="str">
        <f>IF(ISBLANK('Control Entry'!F31),"",'Control Entry'!F31)</f>
        <v/>
      </c>
      <c r="F27" s="42" t="str">
        <f>IF(ISBLANK('Control Entry'!I31),"",'Control Entry'!I31)</f>
        <v/>
      </c>
      <c r="G27" s="10"/>
      <c r="H27" s="35" t="s">
        <v>29</v>
      </c>
    </row>
    <row r="28" spans="1:21" ht="36" customHeight="1" x14ac:dyDescent="0.2">
      <c r="A28" s="48" t="str">
        <f>IF(ISBLANK('Control Entry'!D31),"",'Control Entry'!D31)</f>
        <v/>
      </c>
      <c r="B28" s="49" t="str">
        <f>'Control Entry'!N31</f>
        <v/>
      </c>
      <c r="C28" s="49" t="str">
        <f>'Control Entry'!O31</f>
        <v/>
      </c>
      <c r="D28" s="50" t="str">
        <f>IF(ISBLANK('Control Entry'!E31),"",'Control Entry'!E31)</f>
        <v/>
      </c>
      <c r="E28" s="42" t="str">
        <f>IF(ISBLANK('Control Entry'!G31),"",'Control Entry'!G31)</f>
        <v/>
      </c>
      <c r="F28" s="42" t="str">
        <f>IF(ISBLANK('Control Entry'!J31),"",'Control Entry'!J31)</f>
        <v/>
      </c>
      <c r="G28" s="10"/>
      <c r="H28" s="35" t="s">
        <v>29</v>
      </c>
    </row>
    <row r="29" spans="1:21" ht="36" customHeight="1" thickBot="1" x14ac:dyDescent="0.25">
      <c r="A29" s="43"/>
      <c r="B29" s="44" t="str">
        <f>'Control Entry'!N31</f>
        <v/>
      </c>
      <c r="C29" s="44" t="str">
        <f>'Control Entry'!O31</f>
        <v/>
      </c>
      <c r="D29" s="45"/>
      <c r="E29" s="46" t="str">
        <f>IF(ISBLANK('Control Entry'!H31),"",'Control Entry'!H31)</f>
        <v/>
      </c>
      <c r="F29" s="46" t="str">
        <f>IF(ISBLANK('Control Entry'!K31),"",'Control Entry'!K31)</f>
        <v/>
      </c>
      <c r="G29" s="11"/>
      <c r="H29" s="35" t="s">
        <v>29</v>
      </c>
      <c r="M29" s="128" t="s">
        <v>42</v>
      </c>
      <c r="N29" s="128"/>
      <c r="O29" s="128"/>
      <c r="P29" s="128"/>
      <c r="Q29" s="128"/>
      <c r="R29" s="128"/>
      <c r="S29" s="128"/>
      <c r="T29" s="128"/>
      <c r="U29" s="68"/>
    </row>
    <row r="30" spans="1:21" ht="36" customHeight="1" x14ac:dyDescent="0.2">
      <c r="A30" s="39"/>
      <c r="B30" s="40" t="str">
        <f>'Control Entry'!N32</f>
        <v/>
      </c>
      <c r="C30" s="40" t="str">
        <f>'Control Entry'!O32</f>
        <v/>
      </c>
      <c r="D30" s="47"/>
      <c r="E30" s="42" t="str">
        <f>IF(ISBLANK('Control Entry'!F32),"",'Control Entry'!F32)</f>
        <v/>
      </c>
      <c r="F30" s="42" t="str">
        <f>IF(ISBLANK('Control Entry'!I32),"",'Control Entry'!I32)</f>
        <v/>
      </c>
      <c r="G30" s="10"/>
      <c r="H30" s="35" t="s">
        <v>29</v>
      </c>
      <c r="M30" s="19"/>
      <c r="N30" s="27"/>
      <c r="O30" s="27"/>
      <c r="P30" s="28"/>
      <c r="Q30" s="27"/>
      <c r="R30" s="27"/>
      <c r="S30" s="27"/>
      <c r="T30" s="28"/>
      <c r="U30" s="29"/>
    </row>
    <row r="31" spans="1:21" ht="36" customHeight="1" x14ac:dyDescent="0.2">
      <c r="A31" s="48" t="str">
        <f>IF(ISBLANK('Control Entry'!D32),"",'Control Entry'!D32)</f>
        <v/>
      </c>
      <c r="B31" s="49" t="str">
        <f>'Control Entry'!N32</f>
        <v/>
      </c>
      <c r="C31" s="49" t="str">
        <f>'Control Entry'!O32</f>
        <v/>
      </c>
      <c r="D31" s="50" t="str">
        <f>IF(ISBLANK('Control Entry'!E32),"",'Control Entry'!E32)</f>
        <v/>
      </c>
      <c r="E31" s="42" t="str">
        <f>IF(ISBLANK('Control Entry'!G32),"",'Control Entry'!G32)</f>
        <v/>
      </c>
      <c r="F31" s="42" t="str">
        <f>IF(ISBLANK('Control Entry'!J32),"",'Control Entry'!J32)</f>
        <v/>
      </c>
      <c r="G31" s="10"/>
      <c r="H31" s="35" t="s">
        <v>29</v>
      </c>
      <c r="M31" s="20"/>
      <c r="N31" s="29"/>
      <c r="O31" s="29"/>
      <c r="P31" s="30"/>
      <c r="Q31" s="29"/>
      <c r="R31" s="29"/>
      <c r="S31" s="29"/>
      <c r="T31" s="30"/>
      <c r="U31" s="29"/>
    </row>
    <row r="32" spans="1:21" ht="36" customHeight="1" thickBot="1" x14ac:dyDescent="0.25">
      <c r="A32" s="43"/>
      <c r="B32" s="44" t="str">
        <f>'Control Entry'!N32</f>
        <v/>
      </c>
      <c r="C32" s="44" t="str">
        <f>'Control Entry'!O32</f>
        <v/>
      </c>
      <c r="D32" s="45"/>
      <c r="E32" s="46" t="str">
        <f>IF(ISBLANK('Control Entry'!H32),"",'Control Entry'!H32)</f>
        <v/>
      </c>
      <c r="F32" s="46" t="str">
        <f>IF(ISBLANK('Control Entry'!K32),"",'Control Entry'!K32)</f>
        <v/>
      </c>
      <c r="G32" s="11"/>
      <c r="H32" s="35" t="s">
        <v>29</v>
      </c>
      <c r="M32" s="66"/>
      <c r="N32" s="26"/>
      <c r="O32" s="26"/>
      <c r="P32" s="31"/>
      <c r="Q32" s="26"/>
      <c r="R32" s="26"/>
      <c r="S32" s="26"/>
      <c r="T32" s="31"/>
      <c r="U32" s="29"/>
    </row>
    <row r="33" spans="1:22" ht="36" customHeight="1" x14ac:dyDescent="0.2">
      <c r="A33" s="117" t="s">
        <v>43</v>
      </c>
      <c r="B33" s="117"/>
      <c r="C33" s="117"/>
      <c r="D33" s="117"/>
      <c r="E33" s="117"/>
      <c r="F33" s="117"/>
      <c r="G33" s="117"/>
      <c r="H33" s="51"/>
      <c r="I33" s="51"/>
      <c r="N33" s="129"/>
      <c r="O33" s="129"/>
      <c r="P33" s="129"/>
      <c r="Q33" s="129"/>
      <c r="R33" s="129"/>
      <c r="S33" s="129"/>
      <c r="T33" s="129"/>
      <c r="U33" s="129"/>
      <c r="V33" s="71"/>
    </row>
    <row r="34" spans="1:22" ht="36" customHeight="1" x14ac:dyDescent="0.2">
      <c r="A34"/>
      <c r="O34" s="59"/>
      <c r="P34" s="59"/>
      <c r="Q34" s="59"/>
      <c r="R34" s="58"/>
    </row>
    <row r="35" spans="1:22" ht="36" customHeight="1" x14ac:dyDescent="0.2">
      <c r="A35"/>
      <c r="N35" s="128"/>
      <c r="O35" s="128"/>
      <c r="P35" s="128"/>
      <c r="Q35" s="128"/>
      <c r="R35" s="128"/>
      <c r="S35" s="128"/>
      <c r="T35" s="128"/>
      <c r="U35" s="128"/>
    </row>
    <row r="36" spans="1:22" ht="36" customHeight="1" x14ac:dyDescent="0.15">
      <c r="A36"/>
      <c r="N36" s="36"/>
      <c r="O36" s="29"/>
      <c r="P36" s="29"/>
      <c r="Q36" s="29"/>
      <c r="R36" s="29"/>
      <c r="S36" s="29"/>
      <c r="T36" s="29"/>
      <c r="U36" s="29"/>
    </row>
    <row r="37" spans="1:22" ht="36" customHeight="1" x14ac:dyDescent="0.15">
      <c r="A37"/>
      <c r="N37" s="36"/>
      <c r="O37" s="29"/>
      <c r="P37" s="29"/>
      <c r="Q37" s="29"/>
      <c r="R37" s="29"/>
      <c r="S37" s="29"/>
      <c r="T37" s="29"/>
      <c r="U37" s="29"/>
    </row>
    <row r="38" spans="1:22" ht="36" customHeight="1" x14ac:dyDescent="0.2">
      <c r="A38"/>
      <c r="N38" s="69"/>
      <c r="O38" s="29"/>
      <c r="P38" s="29"/>
      <c r="Q38" s="29"/>
      <c r="R38" s="29"/>
      <c r="S38" s="29"/>
      <c r="T38" s="29"/>
      <c r="U38" s="29"/>
    </row>
    <row r="39" spans="1:22" ht="36" customHeight="1" x14ac:dyDescent="0.15">
      <c r="A39"/>
    </row>
    <row r="40" spans="1:22" ht="36" customHeight="1" x14ac:dyDescent="0.15">
      <c r="A40"/>
    </row>
  </sheetData>
  <mergeCells count="16">
    <mergeCell ref="A33:G33"/>
    <mergeCell ref="N33:U33"/>
    <mergeCell ref="N35:U35"/>
    <mergeCell ref="L21:U21"/>
    <mergeCell ref="L8:Q8"/>
    <mergeCell ref="M29:T29"/>
    <mergeCell ref="N18:S18"/>
    <mergeCell ref="N19:S19"/>
    <mergeCell ref="L6:U6"/>
    <mergeCell ref="T8:U8"/>
    <mergeCell ref="A1:G1"/>
    <mergeCell ref="K2:U2"/>
    <mergeCell ref="N3:S3"/>
    <mergeCell ref="M4:T4"/>
    <mergeCell ref="N5:O5"/>
    <mergeCell ref="R5:U5"/>
  </mergeCells>
  <phoneticPr fontId="16" type="noConversion"/>
  <printOptions horizontalCentered="1" verticalCentered="1"/>
  <pageMargins left="0.2" right="0.2" top="0.2" bottom="0.2" header="0.51" footer="0.51"/>
  <pageSetup scale="44" orientation="landscape" horizontalDpi="4294967292" verticalDpi="4294967292"/>
  <ignoredErrors>
    <ignoredError sqref="L8 T8" emptyCellReference="1"/>
  </ignoredErrors>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28</vt:i4>
      </vt:variant>
    </vt:vector>
  </HeadingPairs>
  <TitlesOfParts>
    <vt:vector size="31" baseType="lpstr">
      <vt:lpstr>Control Entry</vt:lpstr>
      <vt:lpstr>Control Card #1</vt:lpstr>
      <vt:lpstr>Control Card #2</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#1'!Print_Titles</vt:lpstr>
      <vt:lpstr>'Control Card #2'!Print_Titles</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Microsoft Office User</cp:lastModifiedBy>
  <cp:lastPrinted>2021-08-21T03:52:17Z</cp:lastPrinted>
  <dcterms:created xsi:type="dcterms:W3CDTF">1997-11-12T04:43:39Z</dcterms:created>
  <dcterms:modified xsi:type="dcterms:W3CDTF">2021-08-27T05:12:47Z</dcterms:modified>
</cp:coreProperties>
</file>