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autoCompressPictures="0"/>
  <mc:AlternateContent xmlns:mc="http://schemas.openxmlformats.org/markup-compatibility/2006">
    <mc:Choice Requires="x15">
      <x15ac:absPath xmlns:x15ac="http://schemas.microsoft.com/office/spreadsheetml/2010/11/ac" url="C:\Users\Colin Fingl\Documents\Colin\Rando\2021 Season\LM Summer 400\"/>
    </mc:Choice>
  </mc:AlternateContent>
  <xr:revisionPtr revIDLastSave="0" documentId="13_ncr:1_{24D8FDD5-752A-4271-8547-227ECE3934F6}" xr6:coauthVersionLast="47" xr6:coauthVersionMax="47" xr10:uidLastSave="{00000000-0000-0000-0000-000000000000}"/>
  <bookViews>
    <workbookView xWindow="-108" yWindow="-108" windowWidth="23256" windowHeight="12576" tabRatio="509" activeTab="1" xr2:uid="{00000000-000D-0000-FFFF-FFFF00000000}"/>
  </bookViews>
  <sheets>
    <sheet name="Control Entry" sheetId="1" r:id="rId1"/>
    <sheet name="Control Card #1" sheetId="2" r:id="rId2"/>
    <sheet name="Control Card #2" sheetId="3" r:id="rId3"/>
  </sheets>
  <definedNames>
    <definedName name="Address_1" localSheetId="2">#REF!</definedName>
    <definedName name="Address_1">#REF!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2">'Control Entry'!#REF!</definedName>
    <definedName name="Control_11">'Control Entry'!#REF!</definedName>
    <definedName name="Control_12" localSheetId="2">'Control Entry'!#REF!</definedName>
    <definedName name="Control_12">'Control Entry'!#REF!</definedName>
    <definedName name="Control_13" localSheetId="2">'Control Entry'!#REF!</definedName>
    <definedName name="Control_13">'Control Entry'!#REF!</definedName>
    <definedName name="Control_14" localSheetId="2">'Control Entry'!#REF!</definedName>
    <definedName name="Control_14">'Control Entry'!#REF!</definedName>
    <definedName name="Control_15" localSheetId="2">'Control Entry'!#REF!</definedName>
    <definedName name="Control_15">'Control Entry'!#REF!</definedName>
    <definedName name="Control_16" localSheetId="2">'Control Entry'!#REF!</definedName>
    <definedName name="Control_16">'Control Entry'!#REF!</definedName>
    <definedName name="Control_17" localSheetId="2">'Control Entry'!#REF!</definedName>
    <definedName name="Control_17">'Control Entry'!#REF!</definedName>
    <definedName name="Control_18" localSheetId="2">'Control Entry'!#REF!</definedName>
    <definedName name="Control_18">'Control Entry'!#REF!</definedName>
    <definedName name="Control_19" localSheetId="2">'Control Entry'!#REF!</definedName>
    <definedName name="Control_19">'Control Entry'!#REF!</definedName>
    <definedName name="Control_2">'Control Entry'!$D$11:$O$11</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2">#REF!</definedName>
    <definedName name="Country">#REF!</definedName>
    <definedName name="Distance">'Control Entry'!$D$10:$D$19</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2">#REF!</definedName>
    <definedName name="Fax">#REF!</definedName>
    <definedName name="First_Name" localSheetId="2">#REF!</definedName>
    <definedName name="First_Name">#REF!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2">#REF!</definedName>
    <definedName name="Postal_Code">#REF!</definedName>
    <definedName name="_xlnm.Print_Titles" localSheetId="1">'Control Card #1'!$1:$2</definedName>
    <definedName name="_xlnm.Print_Titles" localSheetId="2">'Control Card #2'!$1:$2</definedName>
    <definedName name="Province_State" localSheetId="2">#REF!</definedName>
    <definedName name="Province_State">#REF!</definedName>
    <definedName name="Start_date">'Control Entry'!$B$7</definedName>
    <definedName name="Start_time">'Control Entry'!$B$8</definedName>
    <definedName name="surname" localSheetId="2">#REF!</definedName>
    <definedName name="surname">#REF!</definedName>
    <definedName name="Work_telephone" localSheetId="2">#REF!</definedName>
    <definedName name="Work_teleph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3" l="1"/>
  <c r="P5" i="2" l="1"/>
  <c r="F3" i="2" l="1"/>
  <c r="D6" i="2"/>
  <c r="E17" i="2"/>
  <c r="E16" i="2"/>
  <c r="E15" i="2"/>
  <c r="E6" i="2"/>
  <c r="D15" i="2"/>
  <c r="M23" i="1"/>
  <c r="E7" i="3"/>
  <c r="E8" i="3"/>
  <c r="E5" i="3"/>
  <c r="F5" i="2"/>
  <c r="T8" i="3"/>
  <c r="L8" i="3"/>
  <c r="S3" i="2"/>
  <c r="F32" i="2"/>
  <c r="F31" i="2"/>
  <c r="F30" i="2"/>
  <c r="F29" i="2"/>
  <c r="F28" i="2"/>
  <c r="F27" i="2"/>
  <c r="F26" i="2"/>
  <c r="F25" i="2"/>
  <c r="F24" i="2"/>
  <c r="F23" i="2"/>
  <c r="F22" i="2"/>
  <c r="F21" i="2"/>
  <c r="F20" i="2"/>
  <c r="F19" i="2"/>
  <c r="F18" i="2"/>
  <c r="F17" i="2"/>
  <c r="F16" i="2"/>
  <c r="F15" i="2"/>
  <c r="F14" i="2"/>
  <c r="F13" i="2"/>
  <c r="F12" i="2"/>
  <c r="F11" i="2"/>
  <c r="F10" i="2"/>
  <c r="F9" i="2"/>
  <c r="F8" i="2"/>
  <c r="F7" i="2"/>
  <c r="F6" i="2"/>
  <c r="F4" i="2"/>
  <c r="L10" i="1"/>
  <c r="N10" i="1" s="1"/>
  <c r="N27" i="1" s="1"/>
  <c r="B17" i="3" s="1"/>
  <c r="F32" i="3"/>
  <c r="F31" i="3"/>
  <c r="F30" i="3"/>
  <c r="F29" i="3"/>
  <c r="F28" i="3"/>
  <c r="F27" i="3"/>
  <c r="F26" i="3"/>
  <c r="F25" i="3"/>
  <c r="F24" i="3"/>
  <c r="F23" i="3"/>
  <c r="F22" i="3"/>
  <c r="F21" i="3"/>
  <c r="F20" i="3"/>
  <c r="F19" i="3"/>
  <c r="F18" i="3"/>
  <c r="F17" i="3"/>
  <c r="F16" i="3"/>
  <c r="F15" i="3"/>
  <c r="F14" i="3"/>
  <c r="F13" i="3"/>
  <c r="F12" i="3"/>
  <c r="F11" i="3"/>
  <c r="F10" i="3"/>
  <c r="F9" i="3"/>
  <c r="F8" i="3"/>
  <c r="F5" i="3"/>
  <c r="F6" i="3"/>
  <c r="F3" i="3"/>
  <c r="E32" i="3"/>
  <c r="E31" i="3"/>
  <c r="E30" i="3"/>
  <c r="E29" i="3"/>
  <c r="E28" i="3"/>
  <c r="E27" i="3"/>
  <c r="E26" i="3"/>
  <c r="E25" i="3"/>
  <c r="E24" i="3"/>
  <c r="E23" i="3"/>
  <c r="E22" i="3"/>
  <c r="E21" i="3"/>
  <c r="E20" i="3"/>
  <c r="E19" i="3"/>
  <c r="E18" i="3"/>
  <c r="E17" i="3"/>
  <c r="E16" i="3"/>
  <c r="E15" i="3"/>
  <c r="E14" i="3"/>
  <c r="E13" i="3"/>
  <c r="E12" i="3"/>
  <c r="E11" i="3"/>
  <c r="E10" i="3"/>
  <c r="E9" i="3"/>
  <c r="E6" i="3"/>
  <c r="L24" i="1"/>
  <c r="L25" i="1"/>
  <c r="L26" i="1"/>
  <c r="L27" i="1"/>
  <c r="L28" i="1"/>
  <c r="N28" i="1" s="1"/>
  <c r="B20" i="3" s="1"/>
  <c r="L29" i="1"/>
  <c r="M29" i="1"/>
  <c r="L30" i="1"/>
  <c r="M30" i="1"/>
  <c r="L31" i="1"/>
  <c r="M31" i="1"/>
  <c r="L32" i="1"/>
  <c r="M32" i="1"/>
  <c r="L23" i="1"/>
  <c r="C1" i="1"/>
  <c r="M4" i="3" s="1"/>
  <c r="E4" i="3"/>
  <c r="E3" i="3"/>
  <c r="D31" i="3"/>
  <c r="D28" i="3"/>
  <c r="D25" i="3"/>
  <c r="D22" i="3"/>
  <c r="D19" i="3"/>
  <c r="D16" i="3"/>
  <c r="D13" i="3"/>
  <c r="D10" i="3"/>
  <c r="D7" i="3"/>
  <c r="D4" i="3"/>
  <c r="A31" i="3"/>
  <c r="A28" i="3"/>
  <c r="A25" i="3"/>
  <c r="A22" i="3"/>
  <c r="A19" i="3"/>
  <c r="A16" i="3"/>
  <c r="A13" i="3"/>
  <c r="A10" i="3"/>
  <c r="A7" i="3"/>
  <c r="A4" i="3"/>
  <c r="M19" i="1"/>
  <c r="L19" i="1"/>
  <c r="M18" i="1"/>
  <c r="L18" i="1"/>
  <c r="M17" i="1"/>
  <c r="L17" i="1"/>
  <c r="M16" i="1"/>
  <c r="L16" i="1"/>
  <c r="M15" i="1"/>
  <c r="L15" i="1"/>
  <c r="L14" i="1"/>
  <c r="L13" i="1"/>
  <c r="L12" i="1"/>
  <c r="L11" i="1"/>
  <c r="L6" i="3"/>
  <c r="R5" i="3"/>
  <c r="P5" i="3"/>
  <c r="L6" i="2"/>
  <c r="S20" i="2"/>
  <c r="R5" i="2"/>
  <c r="A7" i="2"/>
  <c r="E32" i="2"/>
  <c r="E31" i="2"/>
  <c r="E30" i="2"/>
  <c r="E27" i="2"/>
  <c r="E26" i="2"/>
  <c r="E25" i="2"/>
  <c r="E24" i="2"/>
  <c r="E23" i="2"/>
  <c r="E22" i="2"/>
  <c r="E21" i="2"/>
  <c r="E20" i="2"/>
  <c r="E19" i="2"/>
  <c r="E18" i="2"/>
  <c r="E14" i="2"/>
  <c r="E13" i="2"/>
  <c r="E12" i="2"/>
  <c r="E11" i="2"/>
  <c r="E10" i="2"/>
  <c r="E9" i="2"/>
  <c r="E8" i="2"/>
  <c r="E7" i="2"/>
  <c r="E5" i="2"/>
  <c r="E4" i="2"/>
  <c r="E3" i="2"/>
  <c r="D24" i="2"/>
  <c r="D28" i="2"/>
  <c r="D31" i="2"/>
  <c r="A31" i="2"/>
  <c r="A4" i="2"/>
  <c r="D18" i="2"/>
  <c r="D12" i="2"/>
  <c r="D9" i="2"/>
  <c r="D3" i="2"/>
  <c r="D21" i="2"/>
  <c r="A28" i="2"/>
  <c r="A25" i="2"/>
  <c r="A22" i="2"/>
  <c r="A19" i="2"/>
  <c r="A10" i="2"/>
  <c r="A16" i="2"/>
  <c r="A13" i="2"/>
  <c r="N31" i="1"/>
  <c r="B29" i="3" s="1"/>
  <c r="N29" i="1"/>
  <c r="B23" i="3" s="1"/>
  <c r="O32" i="1"/>
  <c r="C30" i="3" s="1"/>
  <c r="O30" i="1"/>
  <c r="C24" i="3" s="1"/>
  <c r="N32" i="1"/>
  <c r="B32" i="3" s="1"/>
  <c r="O31" i="1"/>
  <c r="C27" i="3" s="1"/>
  <c r="O29" i="1"/>
  <c r="C21" i="3" s="1"/>
  <c r="N30" i="1"/>
  <c r="B26" i="3" s="1"/>
  <c r="N19" i="1"/>
  <c r="B32" i="2" s="1"/>
  <c r="O19" i="1"/>
  <c r="C30" i="2" s="1"/>
  <c r="N17" i="1" l="1"/>
  <c r="B24" i="2" s="1"/>
  <c r="O17" i="1"/>
  <c r="C24" i="2" s="1"/>
  <c r="O18" i="1"/>
  <c r="C29" i="2" s="1"/>
  <c r="N18" i="1"/>
  <c r="B29" i="2" s="1"/>
  <c r="N24" i="1"/>
  <c r="B8" i="3" s="1"/>
  <c r="N26" i="1"/>
  <c r="B14" i="3" s="1"/>
  <c r="C26" i="3"/>
  <c r="B2" i="1"/>
  <c r="M28" i="1" s="1"/>
  <c r="O28" i="1" s="1"/>
  <c r="O23" i="1"/>
  <c r="C3" i="3" s="1"/>
  <c r="M27" i="1"/>
  <c r="O27" i="1" s="1"/>
  <c r="C15" i="3" s="1"/>
  <c r="M25" i="1"/>
  <c r="O25" i="1" s="1"/>
  <c r="N25" i="1"/>
  <c r="B11" i="3" s="1"/>
  <c r="M4" i="2"/>
  <c r="N23" i="1"/>
  <c r="B5" i="3" s="1"/>
  <c r="M26" i="1"/>
  <c r="O26" i="1" s="1"/>
  <c r="C12" i="3" s="1"/>
  <c r="M24" i="1"/>
  <c r="O24" i="1" s="1"/>
  <c r="C29" i="3"/>
  <c r="B15" i="3"/>
  <c r="M12" i="1"/>
  <c r="O12" i="1" s="1"/>
  <c r="C10" i="2" s="1"/>
  <c r="M14" i="1"/>
  <c r="O14" i="1" s="1"/>
  <c r="C16" i="2" s="1"/>
  <c r="M11" i="1"/>
  <c r="O11" i="1" s="1"/>
  <c r="M13" i="1"/>
  <c r="O13" i="1" s="1"/>
  <c r="B18" i="3"/>
  <c r="B16" i="3"/>
  <c r="B26" i="2"/>
  <c r="B24" i="3"/>
  <c r="B19" i="3"/>
  <c r="C32" i="2"/>
  <c r="C28" i="3"/>
  <c r="B27" i="3"/>
  <c r="B28" i="3"/>
  <c r="C26" i="2"/>
  <c r="B25" i="3"/>
  <c r="N13" i="1"/>
  <c r="B13" i="2" s="1"/>
  <c r="O15" i="1"/>
  <c r="B4" i="2"/>
  <c r="M10" i="1"/>
  <c r="O10" i="1" s="1"/>
  <c r="C3" i="2" s="1"/>
  <c r="B25" i="2"/>
  <c r="C31" i="3"/>
  <c r="C31" i="2"/>
  <c r="O16" i="1"/>
  <c r="C22" i="2" s="1"/>
  <c r="B30" i="2"/>
  <c r="C32" i="3"/>
  <c r="B31" i="2"/>
  <c r="B22" i="3"/>
  <c r="C25" i="3"/>
  <c r="B5" i="2"/>
  <c r="C23" i="3"/>
  <c r="B31" i="3"/>
  <c r="B30" i="3"/>
  <c r="C22" i="3"/>
  <c r="B21" i="3"/>
  <c r="B3" i="2"/>
  <c r="N11" i="1"/>
  <c r="N12" i="1"/>
  <c r="N14" i="1"/>
  <c r="N15" i="1"/>
  <c r="N16" i="1"/>
  <c r="B27" i="2" l="1"/>
  <c r="C27" i="2"/>
  <c r="B28" i="2"/>
  <c r="C25" i="2"/>
  <c r="C28" i="2"/>
  <c r="B6" i="3"/>
  <c r="B7" i="3"/>
  <c r="B12" i="3"/>
  <c r="B13" i="3"/>
  <c r="C17" i="3"/>
  <c r="C5" i="3"/>
  <c r="B4" i="3"/>
  <c r="C16" i="3"/>
  <c r="C14" i="3"/>
  <c r="C13" i="3"/>
  <c r="C6" i="3"/>
  <c r="C8" i="3"/>
  <c r="C7" i="3"/>
  <c r="C9" i="3"/>
  <c r="C10" i="3"/>
  <c r="C11" i="3"/>
  <c r="C20" i="3"/>
  <c r="C19" i="3"/>
  <c r="C18" i="3"/>
  <c r="B10" i="3"/>
  <c r="C4" i="3"/>
  <c r="B3" i="3"/>
  <c r="B9" i="3"/>
  <c r="C11" i="2"/>
  <c r="C23" i="2"/>
  <c r="C9" i="2"/>
  <c r="C21" i="2"/>
  <c r="C17" i="2"/>
  <c r="C18" i="2"/>
  <c r="C20" i="2"/>
  <c r="C19" i="2"/>
  <c r="C15" i="2"/>
  <c r="C4" i="2"/>
  <c r="C5" i="2"/>
  <c r="B12" i="2"/>
  <c r="B14" i="2"/>
  <c r="C12" i="2"/>
  <c r="C13" i="2"/>
  <c r="C14" i="2"/>
  <c r="C7" i="2"/>
  <c r="C8" i="2"/>
  <c r="C6" i="2"/>
  <c r="B10" i="2"/>
  <c r="B11" i="2"/>
  <c r="B9" i="2"/>
  <c r="B7" i="2"/>
  <c r="B8" i="2"/>
  <c r="B6" i="2"/>
  <c r="B23" i="2"/>
  <c r="B21" i="2"/>
  <c r="B22" i="2"/>
  <c r="B19" i="2"/>
  <c r="B20" i="2"/>
  <c r="B18" i="2"/>
  <c r="B17" i="2"/>
  <c r="B16" i="2"/>
  <c r="B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1"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shapeId="0" xr:uid="{00000000-0006-0000-0000-000002000000}">
      <text>
        <r>
          <rPr>
            <sz val="8"/>
            <color rgb="FF000000"/>
            <rFont val="Tahoma"/>
            <family val="2"/>
          </rPr>
          <t>Partial result of closing time calculation to avoid limitation of only 7 nested functions</t>
        </r>
      </text>
    </comment>
    <comment ref="B4"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shapeId="0" xr:uid="{00000000-0006-0000-0000-000005000000}">
      <text>
        <r>
          <rPr>
            <b/>
            <sz val="10"/>
            <color rgb="FF000000"/>
            <rFont val="Tahoma"/>
            <family val="2"/>
          </rPr>
          <t>Stephen Hinde:</t>
        </r>
        <r>
          <rPr>
            <sz val="10"/>
            <color rgb="FF000000"/>
            <rFont val="Tahoma"/>
            <family val="2"/>
          </rPr>
          <t xml:space="preserve">
</t>
        </r>
        <r>
          <rPr>
            <sz val="10"/>
            <color rgb="FF000000"/>
            <rFont val="Tahoma"/>
            <family val="2"/>
          </rPr>
          <t xml:space="preserve">Actual date
</t>
        </r>
        <r>
          <rPr>
            <sz val="10"/>
            <color rgb="FF000000"/>
            <rFont val="Tahoma"/>
            <family val="2"/>
          </rPr>
          <t xml:space="preserve">
</t>
        </r>
        <r>
          <rPr>
            <sz val="10"/>
            <color rgb="FF000000"/>
            <rFont val="Tahoma"/>
            <family val="2"/>
          </rPr>
          <t>Recommend using Schedule date</t>
        </r>
      </text>
    </comment>
  </commentList>
</comments>
</file>

<file path=xl/sharedStrings.xml><?xml version="1.0" encoding="utf-8"?>
<sst xmlns="http://schemas.openxmlformats.org/spreadsheetml/2006/main" count="210" uniqueCount="116">
  <si>
    <t>Brevet Length:</t>
  </si>
  <si>
    <t>Instructions</t>
  </si>
  <si>
    <t>Fill nominal brevet length.  This is the ACP distance eg 200, 300, 1000</t>
  </si>
  <si>
    <t>Maximum Time:</t>
  </si>
  <si>
    <t>Maximum allowable time automatically calculated</t>
  </si>
  <si>
    <t>Brevet Description:</t>
  </si>
  <si>
    <t>Enter the brevet name eg 'Remembrance Day Brevet'</t>
  </si>
  <si>
    <t>Brevet Number:</t>
  </si>
  <si>
    <t>Enter the brevet number.  This is the BCR database number, and can be found on the event page in the database</t>
  </si>
  <si>
    <t>Schedule date:</t>
  </si>
  <si>
    <t>Enter the schedule date.  This is the official ACP listed date and can be found on the shcedule on the website</t>
  </si>
  <si>
    <t>Start Date:</t>
  </si>
  <si>
    <t>Enter the start date.  This will always be the same as the schedule date, unless a ride window has been enabled.</t>
  </si>
  <si>
    <t>Start Time:</t>
  </si>
  <si>
    <t>Control Card #1</t>
  </si>
  <si>
    <t>Control Card #1 Information Control Question (optional)</t>
  </si>
  <si>
    <t>Enter the start time.  This will always be the official ACP listed start time found on the event page, unless a ride window has been enabled.</t>
  </si>
  <si>
    <t>Distance</t>
  </si>
  <si>
    <t>Locale</t>
  </si>
  <si>
    <t>Establishment 1</t>
  </si>
  <si>
    <t>Establishment 2</t>
  </si>
  <si>
    <t>Establishment 3</t>
  </si>
  <si>
    <t>Signature/Answer 1</t>
  </si>
  <si>
    <t>Signature/Answer 2</t>
  </si>
  <si>
    <t>Signature/Answer 3</t>
  </si>
  <si>
    <t>Open</t>
  </si>
  <si>
    <t>Close</t>
  </si>
  <si>
    <t>Open time</t>
  </si>
  <si>
    <t>Close time</t>
  </si>
  <si>
    <t>Fill in the control distance.  The opening and closing times will be automatically calculated based on the start time and the brevet distance.  If you need more than 10 controls, use card #2, otherwise leave that section blank.</t>
  </si>
  <si>
    <t>Control 1</t>
  </si>
  <si>
    <t>Fill in the Locale (city) for each control.  Establishment 1, 2, and 3 can be used to describe the control itself eg Locale Hope  Est.1 Dairy Queen Est.2 817 Water Ave Est. 3 (leaft blank)</t>
  </si>
  <si>
    <t>Control 2</t>
  </si>
  <si>
    <t>When using information controls, you can put your question in the Signature/Answer section eg Sig/Ans.1 Sign on main door  Sig/Ans. 2  This week's special is?  Sig/Ans. 3 ________________</t>
  </si>
  <si>
    <t>Control 3</t>
  </si>
  <si>
    <t>Control 4</t>
  </si>
  <si>
    <t>Control 5</t>
  </si>
  <si>
    <t>Note:  Control Card #1 will only show '#1' if a distance is entered into the first distance box for Control Card #2</t>
  </si>
  <si>
    <t>Control 6</t>
  </si>
  <si>
    <t>Control 7</t>
  </si>
  <si>
    <t>Control 8</t>
  </si>
  <si>
    <t>Control 9</t>
  </si>
  <si>
    <t>Control 10</t>
  </si>
  <si>
    <t>Control Card #2</t>
  </si>
  <si>
    <t>Control Card #2 Information Control Question (optional)</t>
  </si>
  <si>
    <r>
      <t xml:space="preserve">Please </t>
    </r>
    <r>
      <rPr>
        <b/>
        <i/>
        <sz val="16"/>
        <rFont val="Arial"/>
        <family val="2"/>
      </rPr>
      <t>answer questions</t>
    </r>
    <r>
      <rPr>
        <i/>
        <sz val="16"/>
        <rFont val="Arial"/>
        <family val="2"/>
      </rPr>
      <t xml:space="preserve"> and</t>
    </r>
    <r>
      <rPr>
        <b/>
        <i/>
        <sz val="16"/>
        <rFont val="Arial"/>
        <family val="2"/>
      </rPr>
      <t xml:space="preserve"> note time of day</t>
    </r>
  </si>
  <si>
    <t>|</t>
  </si>
  <si>
    <t>DIST (km)</t>
  </si>
  <si>
    <t>Establishment</t>
  </si>
  <si>
    <t>Signature/Answer</t>
  </si>
  <si>
    <t>Time of Passage</t>
  </si>
  <si>
    <t>Founding member of LES RANDONNEURS MONDIAUX (1983)</t>
  </si>
  <si>
    <t>Control Card</t>
  </si>
  <si>
    <t xml:space="preserve">Brevet No. </t>
  </si>
  <si>
    <t>Name</t>
  </si>
  <si>
    <t>Member #</t>
  </si>
  <si>
    <t>Address</t>
  </si>
  <si>
    <t>(only add if change needed to database)</t>
  </si>
  <si>
    <t>City</t>
  </si>
  <si>
    <t>Province/State</t>
  </si>
  <si>
    <t>Country</t>
  </si>
  <si>
    <t>Postal Code</t>
  </si>
  <si>
    <t>Telephone</t>
  </si>
  <si>
    <t>email</t>
  </si>
  <si>
    <t>Ride Day Emergency Contact</t>
  </si>
  <si>
    <t>Start Date</t>
  </si>
  <si>
    <t>Start time</t>
  </si>
  <si>
    <t>Finish Date</t>
  </si>
  <si>
    <t>Finish time</t>
  </si>
  <si>
    <t>Elapsed time</t>
  </si>
  <si>
    <t>Rider's signature at completion</t>
  </si>
  <si>
    <t>Bicycle Type
Circle one</t>
  </si>
  <si>
    <t>-------&gt;</t>
  </si>
  <si>
    <t>Single</t>
  </si>
  <si>
    <t>Tandem</t>
  </si>
  <si>
    <t>Fixed</t>
  </si>
  <si>
    <t>Recumbent</t>
  </si>
  <si>
    <t>Velomobile</t>
  </si>
  <si>
    <t>Randonneur Committee Authorization</t>
  </si>
  <si>
    <t>Report results or abandonment through registration email link</t>
  </si>
  <si>
    <t>Complete ride details on Card #1</t>
  </si>
  <si>
    <t>New Westminster, 434A E Columbia St</t>
  </si>
  <si>
    <t>Rectangular sign to right of store entrance - F___ A__?</t>
  </si>
  <si>
    <t>Langley, Derby Reach Regional Park</t>
  </si>
  <si>
    <t>What area is this - H_______?</t>
  </si>
  <si>
    <t>Aldergrove, 32 Ave at 271 St</t>
  </si>
  <si>
    <t>Sign above entrance?</t>
  </si>
  <si>
    <t>Year on sticker on back of stop sign?</t>
  </si>
  <si>
    <t>Street Address # near front door?</t>
  </si>
  <si>
    <t>Speed Limit at Park entrance?</t>
  </si>
  <si>
    <t>Harrison Hot Springs</t>
  </si>
  <si>
    <t>Ranger Station Art Gallery</t>
  </si>
  <si>
    <t>Harrison Mills</t>
  </si>
  <si>
    <t>Kilby Park Entrance</t>
  </si>
  <si>
    <t>Nicomen Island</t>
  </si>
  <si>
    <t xml:space="preserve"> N. Island Trunk Rd at Dyke Rd</t>
  </si>
  <si>
    <t>Old Yellow Building</t>
  </si>
  <si>
    <t>Parking Lot</t>
  </si>
  <si>
    <t>Hope, 6 Ave at Old Hope-Princton Hwy</t>
  </si>
  <si>
    <t>Chevron / White Spot</t>
  </si>
  <si>
    <t xml:space="preserve">Does the White Spot have a Drive Thru -Y/N? </t>
  </si>
  <si>
    <t>Number on back of Stop Sign - Sherine Signs #___?</t>
  </si>
  <si>
    <t>Jesperson Rd at Kitchen-Hall Rd</t>
  </si>
  <si>
    <t>Huntingdon</t>
  </si>
  <si>
    <t>2 Ave at B St</t>
  </si>
  <si>
    <t>Chilliwack, near Rosedale</t>
  </si>
  <si>
    <t>Chilliwack, Slesse Creek</t>
  </si>
  <si>
    <t>Chilliwack River Salmonid Enhancement Facility</t>
  </si>
  <si>
    <t>Street Address # on the fence to right of main car gate?</t>
  </si>
  <si>
    <t>New Westminster</t>
  </si>
  <si>
    <t>Garrett Rd Dog Park</t>
  </si>
  <si>
    <t>Behind Dog Area sign - box on the ground - D__ S____ L______?</t>
  </si>
  <si>
    <t>Cap's Bicycles</t>
  </si>
  <si>
    <t>NE Corner</t>
  </si>
  <si>
    <t>Decal on back of 4-Way sign (below Stop Sign) - Ride the Trail for E________?</t>
  </si>
  <si>
    <t>Fraser Valley Meander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</si>
</sst>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1"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s>
  <cellStyleXfs count="342">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3">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5"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0" fontId="10" fillId="0" borderId="0" xfId="0" quotePrefix="1" applyFont="1" applyAlignment="1">
      <alignment horizontal="right" vertical="center"/>
    </xf>
    <xf numFmtId="0" fontId="10" fillId="0" borderId="0" xfId="0" applyFont="1" applyAlignment="1">
      <alignment vertical="center"/>
    </xf>
    <xf numFmtId="167" fontId="0" fillId="0" borderId="26" xfId="0" applyNumberFormat="1" applyBorder="1" applyProtection="1">
      <protection locked="0"/>
    </xf>
    <xf numFmtId="0" fontId="24" fillId="0" borderId="18" xfId="0" applyFont="1" applyBorder="1" applyProtection="1"/>
    <xf numFmtId="0" fontId="10" fillId="0" borderId="22" xfId="0" applyFont="1" applyBorder="1"/>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9" fillId="0" borderId="0" xfId="0" applyFont="1" applyBorder="1" applyAlignment="1">
      <alignment horizontal="center" wrapText="1"/>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5" xfId="0" applyFont="1" applyBorder="1" applyAlignment="1"/>
    <xf numFmtId="0" fontId="13" fillId="0" borderId="10" xfId="0" applyFont="1" applyBorder="1" applyAlignment="1"/>
    <xf numFmtId="0" fontId="29" fillId="0" borderId="0" xfId="0" applyFont="1"/>
    <xf numFmtId="0" fontId="0"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15" fontId="30" fillId="0" borderId="4" xfId="0" applyNumberFormat="1" applyFont="1" applyBorder="1" applyProtection="1">
      <protection locked="0"/>
    </xf>
    <xf numFmtId="1" fontId="30" fillId="0" borderId="4" xfId="0" applyNumberFormat="1" applyFont="1" applyBorder="1" applyProtection="1">
      <protection locked="0"/>
    </xf>
    <xf numFmtId="0" fontId="30" fillId="0" borderId="9" xfId="0" applyFont="1" applyBorder="1" applyAlignment="1"/>
    <xf numFmtId="15" fontId="30" fillId="0" borderId="23" xfId="0" applyNumberFormat="1" applyFont="1" applyBorder="1" applyProtection="1">
      <protection locked="0"/>
    </xf>
    <xf numFmtId="20" fontId="30" fillId="0" borderId="8" xfId="0" applyNumberFormat="1" applyFont="1" applyBorder="1" applyProtection="1">
      <protection locked="0"/>
    </xf>
    <xf numFmtId="49" fontId="30"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0" fontId="28" fillId="0" borderId="27" xfId="0" applyFont="1" applyBorder="1" applyProtection="1">
      <protection locked="0"/>
    </xf>
    <xf numFmtId="49" fontId="28" fillId="0" borderId="2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0" fontId="10" fillId="0" borderId="0" xfId="0" applyFont="1" applyAlignment="1">
      <alignment horizontal="center"/>
    </xf>
    <xf numFmtId="0" fontId="15" fillId="0" borderId="1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7" xfId="0" applyFont="1" applyBorder="1" applyAlignment="1">
      <alignment horizontal="center" wrapText="1"/>
    </xf>
    <xf numFmtId="0" fontId="15" fillId="0" borderId="16" xfId="0" applyFont="1" applyBorder="1" applyAlignment="1">
      <alignment horizontal="center" vertical="top" wrapText="1"/>
    </xf>
    <xf numFmtId="0" fontId="29" fillId="0" borderId="0" xfId="0" applyFont="1" applyAlignment="1">
      <alignment horizontal="right"/>
    </xf>
    <xf numFmtId="0" fontId="0" fillId="2" borderId="9"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15" fillId="0" borderId="2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7" xfId="0" applyFont="1" applyBorder="1" applyAlignment="1">
      <alignment horizontal="center" vertical="center" wrapText="1"/>
    </xf>
    <xf numFmtId="0" fontId="10" fillId="0" borderId="18" xfId="0" applyFont="1" applyBorder="1" applyAlignment="1"/>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10" fillId="0" borderId="0" xfId="0" applyFont="1" applyAlignment="1">
      <alignment horizontal="right" vertical="center"/>
    </xf>
    <xf numFmtId="0" fontId="6" fillId="0" borderId="0" xfId="0" applyFont="1" applyBorder="1" applyAlignment="1" applyProtection="1">
      <alignment horizontal="center" vertical="top" wrapText="1"/>
    </xf>
    <xf numFmtId="168" fontId="10" fillId="0" borderId="0" xfId="0" applyNumberFormat="1" applyFont="1" applyBorder="1" applyAlignment="1">
      <alignment horizontal="left" vertical="center"/>
    </xf>
    <xf numFmtId="0" fontId="10" fillId="0" borderId="18" xfId="0" applyFont="1" applyBorder="1" applyAlignment="1" applyProtection="1">
      <alignment horizontal="left"/>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10" fillId="0" borderId="0" xfId="0" applyFont="1" applyAlignment="1">
      <alignment horizontal="center"/>
    </xf>
    <xf numFmtId="0" fontId="0" fillId="0" borderId="18" xfId="0" applyBorder="1" applyAlignment="1">
      <alignment horizontal="center"/>
    </xf>
    <xf numFmtId="0" fontId="10" fillId="0" borderId="18" xfId="0" applyFont="1" applyBorder="1" applyAlignment="1">
      <alignment horizontal="center"/>
    </xf>
    <xf numFmtId="49" fontId="5" fillId="0" borderId="27" xfId="0" applyNumberFormat="1" applyFont="1" applyBorder="1" applyAlignment="1" applyProtection="1">
      <alignment horizontal="center"/>
      <protection locked="0"/>
    </xf>
    <xf numFmtId="0" fontId="0" fillId="0" borderId="0" xfId="0" applyAlignment="1">
      <alignment horizontal="center" vertical="top"/>
    </xf>
    <xf numFmtId="0" fontId="15" fillId="0" borderId="28" xfId="0" applyFont="1" applyBorder="1" applyAlignment="1">
      <alignment horizontal="center" vertical="top" wrapText="1"/>
    </xf>
    <xf numFmtId="0" fontId="15" fillId="0" borderId="16" xfId="0" applyFont="1" applyBorder="1" applyAlignment="1">
      <alignment horizontal="center" vertical="top" wrapText="1"/>
    </xf>
    <xf numFmtId="0" fontId="0" fillId="0" borderId="0" xfId="0" applyAlignment="1">
      <alignment horizontal="left" vertical="center"/>
    </xf>
  </cellXfs>
  <cellStyles count="342">
    <cellStyle name="Followed Hyperlink" xfId="138" builtinId="9" hidden="1"/>
    <cellStyle name="Followed Hyperlink" xfId="142" builtinId="9" hidden="1"/>
    <cellStyle name="Followed Hyperlink" xfId="146" builtinId="9" hidden="1"/>
    <cellStyle name="Followed Hyperlink" xfId="150" builtinId="9" hidden="1"/>
    <cellStyle name="Followed Hyperlink" xfId="154" builtinId="9" hidden="1"/>
    <cellStyle name="Followed Hyperlink" xfId="158" builtinId="9" hidden="1"/>
    <cellStyle name="Followed Hyperlink" xfId="162" builtinId="9" hidden="1"/>
    <cellStyle name="Followed Hyperlink" xfId="166" builtinId="9" hidden="1"/>
    <cellStyle name="Followed Hyperlink" xfId="170" builtinId="9" hidden="1"/>
    <cellStyle name="Followed Hyperlink" xfId="174" builtinId="9" hidden="1"/>
    <cellStyle name="Followed Hyperlink" xfId="178" builtinId="9" hidden="1"/>
    <cellStyle name="Followed Hyperlink" xfId="182" builtinId="9" hidden="1"/>
    <cellStyle name="Followed Hyperlink" xfId="186" builtinId="9" hidden="1"/>
    <cellStyle name="Followed Hyperlink" xfId="190" builtinId="9" hidden="1"/>
    <cellStyle name="Followed Hyperlink" xfId="194" builtinId="9" hidden="1"/>
    <cellStyle name="Followed Hyperlink" xfId="198" builtinId="9" hidden="1"/>
    <cellStyle name="Followed Hyperlink" xfId="202" builtinId="9" hidden="1"/>
    <cellStyle name="Followed Hyperlink" xfId="206" builtinId="9" hidden="1"/>
    <cellStyle name="Followed Hyperlink" xfId="210" builtinId="9" hidden="1"/>
    <cellStyle name="Followed Hyperlink" xfId="214" builtinId="9" hidden="1"/>
    <cellStyle name="Followed Hyperlink" xfId="218" builtinId="9" hidden="1"/>
    <cellStyle name="Followed Hyperlink" xfId="222" builtinId="9" hidden="1"/>
    <cellStyle name="Followed Hyperlink" xfId="226" builtinId="9" hidden="1"/>
    <cellStyle name="Followed Hyperlink" xfId="230" builtinId="9" hidden="1"/>
    <cellStyle name="Followed Hyperlink" xfId="234" builtinId="9" hidden="1"/>
    <cellStyle name="Followed Hyperlink" xfId="238" builtinId="9" hidden="1"/>
    <cellStyle name="Followed Hyperlink" xfId="242" builtinId="9" hidden="1"/>
    <cellStyle name="Followed Hyperlink" xfId="246" builtinId="9" hidden="1"/>
    <cellStyle name="Followed Hyperlink" xfId="250" builtinId="9" hidden="1"/>
    <cellStyle name="Followed Hyperlink" xfId="254" builtinId="9" hidden="1"/>
    <cellStyle name="Followed Hyperlink" xfId="258" builtinId="9" hidden="1"/>
    <cellStyle name="Followed Hyperlink" xfId="262" builtinId="9" hidden="1"/>
    <cellStyle name="Followed Hyperlink" xfId="266" builtinId="9" hidden="1"/>
    <cellStyle name="Followed Hyperlink" xfId="270" builtinId="9" hidden="1"/>
    <cellStyle name="Followed Hyperlink" xfId="274" builtinId="9" hidden="1"/>
    <cellStyle name="Followed Hyperlink" xfId="278" builtinId="9" hidden="1"/>
    <cellStyle name="Followed Hyperlink" xfId="289" builtinId="9" hidden="1"/>
    <cellStyle name="Followed Hyperlink" xfId="297" builtinId="9" hidden="1"/>
    <cellStyle name="Followed Hyperlink" xfId="305" builtinId="9" hidden="1"/>
    <cellStyle name="Followed Hyperlink" xfId="313" builtinId="9" hidden="1"/>
    <cellStyle name="Followed Hyperlink" xfId="321" builtinId="9" hidden="1"/>
    <cellStyle name="Followed Hyperlink" xfId="329" builtinId="9" hidden="1"/>
    <cellStyle name="Followed Hyperlink" xfId="337" builtinId="9" hidden="1"/>
    <cellStyle name="Followed Hyperlink" xfId="339" builtinId="9" hidden="1"/>
    <cellStyle name="Followed Hyperlink" xfId="331" builtinId="9" hidden="1"/>
    <cellStyle name="Followed Hyperlink" xfId="323" builtinId="9" hidden="1"/>
    <cellStyle name="Followed Hyperlink" xfId="315" builtinId="9" hidden="1"/>
    <cellStyle name="Followed Hyperlink" xfId="307" builtinId="9" hidden="1"/>
    <cellStyle name="Followed Hyperlink" xfId="299" builtinId="9" hidden="1"/>
    <cellStyle name="Followed Hyperlink" xfId="291" builtinId="9" hidden="1"/>
    <cellStyle name="Followed Hyperlink" xfId="279" builtinId="9" hidden="1"/>
    <cellStyle name="Followed Hyperlink" xfId="275" builtinId="9" hidden="1"/>
    <cellStyle name="Followed Hyperlink" xfId="271" builtinId="9" hidden="1"/>
    <cellStyle name="Followed Hyperlink" xfId="267" builtinId="9" hidden="1"/>
    <cellStyle name="Followed Hyperlink" xfId="263" builtinId="9" hidden="1"/>
    <cellStyle name="Followed Hyperlink" xfId="259" builtinId="9" hidden="1"/>
    <cellStyle name="Followed Hyperlink" xfId="255" builtinId="9" hidden="1"/>
    <cellStyle name="Followed Hyperlink" xfId="251" builtinId="9" hidden="1"/>
    <cellStyle name="Followed Hyperlink" xfId="247" builtinId="9" hidden="1"/>
    <cellStyle name="Followed Hyperlink" xfId="243" builtinId="9" hidden="1"/>
    <cellStyle name="Followed Hyperlink" xfId="239" builtinId="9" hidden="1"/>
    <cellStyle name="Followed Hyperlink" xfId="235" builtinId="9" hidden="1"/>
    <cellStyle name="Followed Hyperlink" xfId="231" builtinId="9" hidden="1"/>
    <cellStyle name="Followed Hyperlink" xfId="227" builtinId="9" hidden="1"/>
    <cellStyle name="Followed Hyperlink" xfId="223" builtinId="9" hidden="1"/>
    <cellStyle name="Followed Hyperlink" xfId="219" builtinId="9" hidden="1"/>
    <cellStyle name="Followed Hyperlink" xfId="215" builtinId="9" hidden="1"/>
    <cellStyle name="Followed Hyperlink" xfId="211" builtinId="9" hidden="1"/>
    <cellStyle name="Followed Hyperlink" xfId="207" builtinId="9" hidden="1"/>
    <cellStyle name="Followed Hyperlink" xfId="203" builtinId="9" hidden="1"/>
    <cellStyle name="Followed Hyperlink" xfId="199" builtinId="9" hidden="1"/>
    <cellStyle name="Followed Hyperlink" xfId="195" builtinId="9" hidden="1"/>
    <cellStyle name="Followed Hyperlink" xfId="191" builtinId="9" hidden="1"/>
    <cellStyle name="Followed Hyperlink" xfId="187" builtinId="9" hidden="1"/>
    <cellStyle name="Followed Hyperlink" xfId="183" builtinId="9" hidden="1"/>
    <cellStyle name="Followed Hyperlink" xfId="179" builtinId="9" hidden="1"/>
    <cellStyle name="Followed Hyperlink" xfId="175" builtinId="9" hidden="1"/>
    <cellStyle name="Followed Hyperlink" xfId="171" builtinId="9" hidden="1"/>
    <cellStyle name="Followed Hyperlink" xfId="167" builtinId="9" hidden="1"/>
    <cellStyle name="Followed Hyperlink" xfId="163" builtinId="9" hidden="1"/>
    <cellStyle name="Followed Hyperlink" xfId="159" builtinId="9" hidden="1"/>
    <cellStyle name="Followed Hyperlink" xfId="155" builtinId="9" hidden="1"/>
    <cellStyle name="Followed Hyperlink" xfId="151" builtinId="9" hidden="1"/>
    <cellStyle name="Followed Hyperlink" xfId="147" builtinId="9" hidden="1"/>
    <cellStyle name="Followed Hyperlink" xfId="143" builtinId="9" hidden="1"/>
    <cellStyle name="Followed Hyperlink" xfId="139" builtinId="9" hidden="1"/>
    <cellStyle name="Followed Hyperlink" xfId="135" builtinId="9" hidden="1"/>
    <cellStyle name="Followed Hyperlink" xfId="131" builtinId="9" hidden="1"/>
    <cellStyle name="Followed Hyperlink" xfId="127" builtinId="9" hidden="1"/>
    <cellStyle name="Followed Hyperlink" xfId="123" builtinId="9" hidden="1"/>
    <cellStyle name="Followed Hyperlink" xfId="119" builtinId="9" hidden="1"/>
    <cellStyle name="Followed Hyperlink" xfId="115" builtinId="9" hidden="1"/>
    <cellStyle name="Followed Hyperlink" xfId="111" builtinId="9" hidden="1"/>
    <cellStyle name="Followed Hyperlink" xfId="107" builtinId="9" hidden="1"/>
    <cellStyle name="Followed Hyperlink" xfId="103"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4" builtinId="9" hidden="1"/>
    <cellStyle name="Followed Hyperlink" xfId="66" builtinId="9" hidden="1"/>
    <cellStyle name="Followed Hyperlink" xfId="26" builtinId="9" hidden="1"/>
    <cellStyle name="Followed Hyperlink" xfId="32" builtinId="9" hidden="1"/>
    <cellStyle name="Followed Hyperlink" xfId="36" builtinId="9" hidden="1"/>
    <cellStyle name="Followed Hyperlink" xfId="42" builtinId="9" hidden="1"/>
    <cellStyle name="Followed Hyperlink" xfId="48" builtinId="9" hidden="1"/>
    <cellStyle name="Followed Hyperlink" xfId="52" builtinId="9" hidden="1"/>
    <cellStyle name="Followed Hyperlink" xfId="58" builtinId="9" hidden="1"/>
    <cellStyle name="Followed Hyperlink" xfId="64" builtinId="9" hidden="1"/>
    <cellStyle name="Followed Hyperlink" xfId="54" builtinId="9" hidden="1"/>
    <cellStyle name="Followed Hyperlink" xfId="38" builtinId="9" hidden="1"/>
    <cellStyle name="Followed Hyperlink" xfId="22" builtinId="9" hidden="1"/>
    <cellStyle name="Followed Hyperlink" xfId="12" builtinId="9" hidden="1"/>
    <cellStyle name="Followed Hyperlink" xfId="18" builtinId="9" hidde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16" builtinId="9" hidden="1"/>
    <cellStyle name="Followed Hyperlink" xfId="10" builtinId="9" hidden="1"/>
    <cellStyle name="Followed Hyperlink" xfId="30" builtinId="9" hidden="1"/>
    <cellStyle name="Followed Hyperlink" xfId="46" builtinId="9" hidden="1"/>
    <cellStyle name="Followed Hyperlink" xfId="62" builtinId="9" hidden="1"/>
    <cellStyle name="Followed Hyperlink" xfId="60" builtinId="9" hidden="1"/>
    <cellStyle name="Followed Hyperlink" xfId="56" builtinId="9" hidden="1"/>
    <cellStyle name="Followed Hyperlink" xfId="50" builtinId="9" hidden="1"/>
    <cellStyle name="Followed Hyperlink" xfId="44" builtinId="9" hidden="1"/>
    <cellStyle name="Followed Hyperlink" xfId="40" builtinId="9" hidden="1"/>
    <cellStyle name="Followed Hyperlink" xfId="34" builtinId="9" hidden="1"/>
    <cellStyle name="Followed Hyperlink" xfId="28" builtinId="9" hidden="1"/>
    <cellStyle name="Followed Hyperlink" xfId="24" builtinId="9" hidden="1"/>
    <cellStyle name="Followed Hyperlink" xfId="70"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1" builtinId="9" hidden="1"/>
    <cellStyle name="Followed Hyperlink" xfId="105" builtinId="9" hidden="1"/>
    <cellStyle name="Followed Hyperlink" xfId="109" builtinId="9" hidden="1"/>
    <cellStyle name="Followed Hyperlink" xfId="113" builtinId="9" hidden="1"/>
    <cellStyle name="Followed Hyperlink" xfId="117" builtinId="9" hidden="1"/>
    <cellStyle name="Followed Hyperlink" xfId="121" builtinId="9" hidden="1"/>
    <cellStyle name="Followed Hyperlink" xfId="125" builtinId="9" hidden="1"/>
    <cellStyle name="Followed Hyperlink" xfId="129" builtinId="9" hidden="1"/>
    <cellStyle name="Followed Hyperlink" xfId="133" builtinId="9" hidden="1"/>
    <cellStyle name="Followed Hyperlink" xfId="137" builtinId="9" hidden="1"/>
    <cellStyle name="Followed Hyperlink" xfId="141" builtinId="9" hidden="1"/>
    <cellStyle name="Followed Hyperlink" xfId="145" builtinId="9" hidden="1"/>
    <cellStyle name="Followed Hyperlink" xfId="149" builtinId="9" hidden="1"/>
    <cellStyle name="Followed Hyperlink" xfId="153" builtinId="9" hidden="1"/>
    <cellStyle name="Followed Hyperlink" xfId="157" builtinId="9" hidden="1"/>
    <cellStyle name="Followed Hyperlink" xfId="161" builtinId="9" hidden="1"/>
    <cellStyle name="Followed Hyperlink" xfId="165" builtinId="9" hidden="1"/>
    <cellStyle name="Followed Hyperlink" xfId="169" builtinId="9" hidden="1"/>
    <cellStyle name="Followed Hyperlink" xfId="173" builtinId="9" hidden="1"/>
    <cellStyle name="Followed Hyperlink" xfId="177" builtinId="9" hidden="1"/>
    <cellStyle name="Followed Hyperlink" xfId="181" builtinId="9" hidden="1"/>
    <cellStyle name="Followed Hyperlink" xfId="185" builtinId="9" hidden="1"/>
    <cellStyle name="Followed Hyperlink" xfId="189" builtinId="9" hidden="1"/>
    <cellStyle name="Followed Hyperlink" xfId="193" builtinId="9" hidden="1"/>
    <cellStyle name="Followed Hyperlink" xfId="197" builtinId="9" hidden="1"/>
    <cellStyle name="Followed Hyperlink" xfId="201" builtinId="9" hidden="1"/>
    <cellStyle name="Followed Hyperlink" xfId="205" builtinId="9" hidden="1"/>
    <cellStyle name="Followed Hyperlink" xfId="209" builtinId="9" hidden="1"/>
    <cellStyle name="Followed Hyperlink" xfId="213" builtinId="9" hidden="1"/>
    <cellStyle name="Followed Hyperlink" xfId="217" builtinId="9" hidden="1"/>
    <cellStyle name="Followed Hyperlink" xfId="221" builtinId="9" hidden="1"/>
    <cellStyle name="Followed Hyperlink" xfId="225" builtinId="9" hidden="1"/>
    <cellStyle name="Followed Hyperlink" xfId="229" builtinId="9" hidden="1"/>
    <cellStyle name="Followed Hyperlink" xfId="233" builtinId="9" hidden="1"/>
    <cellStyle name="Followed Hyperlink" xfId="237" builtinId="9" hidden="1"/>
    <cellStyle name="Followed Hyperlink" xfId="241" builtinId="9" hidden="1"/>
    <cellStyle name="Followed Hyperlink" xfId="245" builtinId="9" hidden="1"/>
    <cellStyle name="Followed Hyperlink" xfId="249" builtinId="9" hidden="1"/>
    <cellStyle name="Followed Hyperlink" xfId="253" builtinId="9" hidden="1"/>
    <cellStyle name="Followed Hyperlink" xfId="257" builtinId="9" hidden="1"/>
    <cellStyle name="Followed Hyperlink" xfId="261" builtinId="9" hidden="1"/>
    <cellStyle name="Followed Hyperlink" xfId="265" builtinId="9" hidden="1"/>
    <cellStyle name="Followed Hyperlink" xfId="269" builtinId="9" hidden="1"/>
    <cellStyle name="Followed Hyperlink" xfId="273" builtinId="9" hidden="1"/>
    <cellStyle name="Followed Hyperlink" xfId="277" builtinId="9" hidden="1"/>
    <cellStyle name="Followed Hyperlink" xfId="281" builtinId="9" hidden="1"/>
    <cellStyle name="Followed Hyperlink" xfId="295" builtinId="9" hidden="1"/>
    <cellStyle name="Followed Hyperlink" xfId="303" builtinId="9" hidden="1"/>
    <cellStyle name="Followed Hyperlink" xfId="311" builtinId="9" hidden="1"/>
    <cellStyle name="Followed Hyperlink" xfId="319" builtinId="9" hidden="1"/>
    <cellStyle name="Followed Hyperlink" xfId="327" builtinId="9" hidden="1"/>
    <cellStyle name="Followed Hyperlink" xfId="335" builtinId="9" hidden="1"/>
    <cellStyle name="Followed Hyperlink" xfId="341" builtinId="9" hidden="1"/>
    <cellStyle name="Followed Hyperlink" xfId="333" builtinId="9" hidden="1"/>
    <cellStyle name="Followed Hyperlink" xfId="325" builtinId="9" hidden="1"/>
    <cellStyle name="Followed Hyperlink" xfId="317" builtinId="9" hidden="1"/>
    <cellStyle name="Followed Hyperlink" xfId="309" builtinId="9" hidden="1"/>
    <cellStyle name="Followed Hyperlink" xfId="301" builtinId="9" hidden="1"/>
    <cellStyle name="Followed Hyperlink" xfId="293" builtinId="9" hidden="1"/>
    <cellStyle name="Followed Hyperlink" xfId="280" builtinId="9" hidden="1"/>
    <cellStyle name="Followed Hyperlink" xfId="276" builtinId="9" hidden="1"/>
    <cellStyle name="Followed Hyperlink" xfId="272" builtinId="9" hidden="1"/>
    <cellStyle name="Followed Hyperlink" xfId="268" builtinId="9" hidden="1"/>
    <cellStyle name="Followed Hyperlink" xfId="264" builtinId="9" hidden="1"/>
    <cellStyle name="Followed Hyperlink" xfId="260" builtinId="9" hidden="1"/>
    <cellStyle name="Followed Hyperlink" xfId="256" builtinId="9" hidden="1"/>
    <cellStyle name="Followed Hyperlink" xfId="252" builtinId="9" hidden="1"/>
    <cellStyle name="Followed Hyperlink" xfId="248" builtinId="9" hidden="1"/>
    <cellStyle name="Followed Hyperlink" xfId="244" builtinId="9" hidden="1"/>
    <cellStyle name="Followed Hyperlink" xfId="240" builtinId="9" hidden="1"/>
    <cellStyle name="Followed Hyperlink" xfId="236" builtinId="9" hidden="1"/>
    <cellStyle name="Followed Hyperlink" xfId="232" builtinId="9" hidden="1"/>
    <cellStyle name="Followed Hyperlink" xfId="228" builtinId="9" hidden="1"/>
    <cellStyle name="Followed Hyperlink" xfId="224" builtinId="9" hidden="1"/>
    <cellStyle name="Followed Hyperlink" xfId="220" builtinId="9" hidden="1"/>
    <cellStyle name="Followed Hyperlink" xfId="216" builtinId="9" hidden="1"/>
    <cellStyle name="Followed Hyperlink" xfId="212" builtinId="9" hidden="1"/>
    <cellStyle name="Followed Hyperlink" xfId="208" builtinId="9" hidden="1"/>
    <cellStyle name="Followed Hyperlink" xfId="204" builtinId="9" hidden="1"/>
    <cellStyle name="Followed Hyperlink" xfId="200" builtinId="9" hidden="1"/>
    <cellStyle name="Followed Hyperlink" xfId="196" builtinId="9" hidden="1"/>
    <cellStyle name="Followed Hyperlink" xfId="192" builtinId="9" hidden="1"/>
    <cellStyle name="Followed Hyperlink" xfId="188" builtinId="9" hidden="1"/>
    <cellStyle name="Followed Hyperlink" xfId="184" builtinId="9" hidden="1"/>
    <cellStyle name="Followed Hyperlink" xfId="180" builtinId="9" hidden="1"/>
    <cellStyle name="Followed Hyperlink" xfId="176" builtinId="9" hidden="1"/>
    <cellStyle name="Followed Hyperlink" xfId="172" builtinId="9" hidden="1"/>
    <cellStyle name="Followed Hyperlink" xfId="168" builtinId="9" hidden="1"/>
    <cellStyle name="Followed Hyperlink" xfId="164" builtinId="9" hidden="1"/>
    <cellStyle name="Followed Hyperlink" xfId="160" builtinId="9" hidden="1"/>
    <cellStyle name="Followed Hyperlink" xfId="156" builtinId="9" hidden="1"/>
    <cellStyle name="Followed Hyperlink" xfId="152" builtinId="9" hidden="1"/>
    <cellStyle name="Followed Hyperlink" xfId="148" builtinId="9" hidden="1"/>
    <cellStyle name="Followed Hyperlink" xfId="144" builtinId="9" hidden="1"/>
    <cellStyle name="Followed Hyperlink" xfId="140" builtinId="9" hidden="1"/>
    <cellStyle name="Followed Hyperlink" xfId="136" builtinId="9" hidden="1"/>
    <cellStyle name="Followed Hyperlink" xfId="94" builtinId="9" hidden="1"/>
    <cellStyle name="Followed Hyperlink" xfId="96" builtinId="9" hidden="1"/>
    <cellStyle name="Followed Hyperlink" xfId="98" builtinId="9" hidden="1"/>
    <cellStyle name="Followed Hyperlink" xfId="102" builtinId="9" hidden="1"/>
    <cellStyle name="Followed Hyperlink" xfId="104" builtinId="9" hidden="1"/>
    <cellStyle name="Followed Hyperlink" xfId="106" builtinId="9" hidden="1"/>
    <cellStyle name="Followed Hyperlink" xfId="110" builtinId="9" hidden="1"/>
    <cellStyle name="Followed Hyperlink" xfId="112" builtinId="9" hidden="1"/>
    <cellStyle name="Followed Hyperlink" xfId="114" builtinId="9" hidden="1"/>
    <cellStyle name="Followed Hyperlink" xfId="118" builtinId="9" hidden="1"/>
    <cellStyle name="Followed Hyperlink" xfId="120" builtinId="9" hidden="1"/>
    <cellStyle name="Followed Hyperlink" xfId="122" builtinId="9" hidden="1"/>
    <cellStyle name="Followed Hyperlink" xfId="126" builtinId="9" hidden="1"/>
    <cellStyle name="Followed Hyperlink" xfId="128" builtinId="9" hidden="1"/>
    <cellStyle name="Followed Hyperlink" xfId="130" builtinId="9" hidden="1"/>
    <cellStyle name="Followed Hyperlink" xfId="134" builtinId="9" hidden="1"/>
    <cellStyle name="Followed Hyperlink" xfId="132" builtinId="9" hidden="1"/>
    <cellStyle name="Followed Hyperlink" xfId="124" builtinId="9" hidden="1"/>
    <cellStyle name="Followed Hyperlink" xfId="116" builtinId="9" hidden="1"/>
    <cellStyle name="Followed Hyperlink" xfId="108" builtinId="9" hidden="1"/>
    <cellStyle name="Followed Hyperlink" xfId="100" builtinId="9" hidden="1"/>
    <cellStyle name="Followed Hyperlink" xfId="92" builtinId="9" hidden="1"/>
    <cellStyle name="Followed Hyperlink" xfId="80" builtinId="9" hidden="1"/>
    <cellStyle name="Followed Hyperlink" xfId="82" builtinId="9" hidden="1"/>
    <cellStyle name="Followed Hyperlink" xfId="86" builtinId="9" hidden="1"/>
    <cellStyle name="Followed Hyperlink" xfId="88" builtinId="9" hidden="1"/>
    <cellStyle name="Followed Hyperlink" xfId="90" builtinId="9" hidden="1"/>
    <cellStyle name="Followed Hyperlink" xfId="84" builtinId="9" hidden="1"/>
    <cellStyle name="Followed Hyperlink" xfId="76" builtinId="9" hidden="1"/>
    <cellStyle name="Followed Hyperlink" xfId="78" builtinId="9" hidden="1"/>
    <cellStyle name="Followed Hyperlink" xfId="72" builtinId="9" hidden="1"/>
    <cellStyle name="Followed Hyperlink" xfId="68" builtinId="9" hidden="1"/>
    <cellStyle name="Hyperlink" xfId="53" builtinId="8" hidden="1"/>
    <cellStyle name="Hyperlink" xfId="19"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21" builtinId="8" hidden="1"/>
    <cellStyle name="Hyperlink" xfId="9" builtinId="8" hidden="1"/>
    <cellStyle name="Hyperlink" xfId="11"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Hyperlink" xfId="13" builtinId="8" hidden="1"/>
    <cellStyle name="Hyperlink" xfId="31" builtinId="8" hidden="1"/>
    <cellStyle name="Hyperlink" xfId="312"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51" builtinId="8" hidden="1"/>
    <cellStyle name="Hyperlink" xfId="320" builtinId="8" hidden="1"/>
    <cellStyle name="Hyperlink" xfId="324" builtinId="8" hidden="1"/>
    <cellStyle name="Hyperlink" xfId="326"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28" builtinId="8" hidden="1"/>
    <cellStyle name="Hyperlink" xfId="322" builtinId="8" hidden="1"/>
    <cellStyle name="Hyperlink" xfId="308" builtinId="8" hidden="1"/>
    <cellStyle name="Hyperlink" xfId="310" builtinId="8" hidden="1"/>
    <cellStyle name="Hyperlink" xfId="314" builtinId="8" hidden="1"/>
    <cellStyle name="Hyperlink" xfId="316" builtinId="8" hidden="1"/>
    <cellStyle name="Hyperlink" xfId="318" builtinId="8" hidden="1"/>
    <cellStyle name="Hyperlink" xfId="304" builtinId="8" hidden="1"/>
    <cellStyle name="Hyperlink" xfId="306" builtinId="8" hidden="1"/>
    <cellStyle name="Hyperlink" xfId="302" builtinId="8" hidden="1"/>
    <cellStyle name="Hyperlink" xfId="300" builtinId="8" hidden="1"/>
    <cellStyle name="Normal" xfId="0" builtinId="0"/>
    <cellStyle name="Normal 2" xfId="282" xr:uid="{00000000-0005-0000-0000-000050010000}"/>
    <cellStyle name="Normal 3" xfId="283" xr:uid="{00000000-0005-0000-0000-000051010000}"/>
    <cellStyle name="Normal 3 2" xfId="285" xr:uid="{00000000-0005-0000-0000-000052010000}"/>
    <cellStyle name="Normal 3 2 2" xfId="286" xr:uid="{00000000-0005-0000-0000-000053010000}"/>
    <cellStyle name="Normal 3 2 3" xfId="287" xr:uid="{00000000-0005-0000-0000-000054010000}"/>
    <cellStyle name="Normal 4" xfId="284" xr:uid="{00000000-0005-0000-0000-000055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387927</xdr:colOff>
      <xdr:row>5</xdr:row>
      <xdr:rowOff>28813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275455" y="792729"/>
          <a:ext cx="2110509" cy="18961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203202</xdr:colOff>
      <xdr:row>2</xdr:row>
      <xdr:rowOff>100002</xdr:rowOff>
    </xdr:from>
    <xdr:to>
      <xdr:col>11</xdr:col>
      <xdr:colOff>235528</xdr:colOff>
      <xdr:row>5</xdr:row>
      <xdr:rowOff>463443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259129" y="1194511"/>
          <a:ext cx="2041235" cy="18320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showGridLines="0" zoomScale="135" zoomScaleNormal="135" zoomScalePageLayoutView="135" workbookViewId="0">
      <selection activeCell="E5" sqref="E5"/>
    </sheetView>
  </sheetViews>
  <sheetFormatPr defaultColWidth="8.77734375" defaultRowHeight="13.2" x14ac:dyDescent="0.25"/>
  <cols>
    <col min="1" max="1" width="16.44140625" style="2" customWidth="1"/>
    <col min="2" max="2" width="9.77734375" bestFit="1" customWidth="1"/>
    <col min="3" max="3" width="0" style="3" hidden="1" customWidth="1"/>
    <col min="4" max="4" width="8.33203125" customWidth="1"/>
    <col min="5" max="5" width="17" bestFit="1" customWidth="1"/>
    <col min="6" max="6" width="18" bestFit="1" customWidth="1"/>
    <col min="7" max="7" width="22.109375" bestFit="1" customWidth="1"/>
    <col min="8" max="8" width="25.109375" bestFit="1" customWidth="1"/>
    <col min="9" max="11" width="31.109375" customWidth="1"/>
    <col min="12" max="12" width="17.33203125" hidden="1" customWidth="1"/>
    <col min="13" max="15" width="17.77734375" hidden="1" customWidth="1"/>
  </cols>
  <sheetData>
    <row r="1" spans="1:23" ht="18" x14ac:dyDescent="0.35">
      <c r="A1" s="13" t="s">
        <v>0</v>
      </c>
      <c r="B1" s="87">
        <v>400</v>
      </c>
      <c r="C1">
        <f>IF(Brevet_Length&gt;=1200,Brevet_Length,IF(Brevet_Length&gt;=1000,1000,IF(Brevet_Length&gt;=600,600,IF(Brevet_Length&gt;=400,400,IF(Brevet_Length&gt;=300,300,IF(Brevet_Length&gt;=200,200,100))))))</f>
        <v>400</v>
      </c>
      <c r="J1" s="112" t="s">
        <v>1</v>
      </c>
      <c r="K1" s="112"/>
      <c r="Q1" s="90" t="s">
        <v>2</v>
      </c>
      <c r="R1" s="90"/>
      <c r="S1" s="90"/>
      <c r="T1" s="90"/>
      <c r="U1" s="90"/>
      <c r="V1" s="90"/>
      <c r="W1" s="90"/>
    </row>
    <row r="2" spans="1:23" ht="13.8" thickBot="1" x14ac:dyDescent="0.3">
      <c r="A2" s="14" t="s">
        <v>3</v>
      </c>
      <c r="B2" s="15">
        <f>IF(brevet=1200,90,IF(brevet=1000,75,IF(brevet=600,40,IF(brevet=400,27,IF(brevet=300,20,IF(brevet=200,13.5,IF(brevet=100,7,0)))))))</f>
        <v>27</v>
      </c>
      <c r="Q2" t="s">
        <v>4</v>
      </c>
    </row>
    <row r="3" spans="1:23" ht="18.600000000000001" thickBot="1" x14ac:dyDescent="0.4">
      <c r="A3" s="14" t="s">
        <v>5</v>
      </c>
      <c r="B3" s="98" t="s">
        <v>115</v>
      </c>
      <c r="C3" s="88"/>
      <c r="D3" s="88"/>
      <c r="E3" s="88"/>
      <c r="F3" s="88"/>
      <c r="G3" s="88"/>
      <c r="H3" s="89"/>
      <c r="I3" s="35"/>
      <c r="J3" s="35"/>
      <c r="K3" s="35"/>
      <c r="O3" s="36"/>
      <c r="P3" s="36"/>
      <c r="Q3" s="90" t="s">
        <v>6</v>
      </c>
    </row>
    <row r="4" spans="1:23" ht="15.6" x14ac:dyDescent="0.3">
      <c r="A4" s="14" t="s">
        <v>7</v>
      </c>
      <c r="B4" s="97">
        <v>5086</v>
      </c>
      <c r="C4" s="32"/>
      <c r="F4" s="33"/>
      <c r="G4" s="33"/>
      <c r="H4" s="33"/>
      <c r="I4" s="33"/>
      <c r="J4" s="33"/>
      <c r="K4" s="33"/>
      <c r="Q4" s="90" t="s">
        <v>8</v>
      </c>
    </row>
    <row r="5" spans="1:23" ht="15.6" x14ac:dyDescent="0.3">
      <c r="A5" s="60" t="s">
        <v>9</v>
      </c>
      <c r="B5" s="96">
        <v>44429</v>
      </c>
      <c r="Q5" s="90" t="s">
        <v>10</v>
      </c>
    </row>
    <row r="6" spans="1:23" ht="6" customHeight="1" x14ac:dyDescent="0.25"/>
    <row r="7" spans="1:23" ht="16.2" thickBot="1" x14ac:dyDescent="0.35">
      <c r="A7" s="56" t="s">
        <v>11</v>
      </c>
      <c r="B7" s="99">
        <v>44429</v>
      </c>
      <c r="Q7" s="90" t="s">
        <v>12</v>
      </c>
    </row>
    <row r="8" spans="1:23" ht="16.2" thickBot="1" x14ac:dyDescent="0.35">
      <c r="A8" s="12" t="s">
        <v>13</v>
      </c>
      <c r="B8" s="100">
        <v>0.25</v>
      </c>
      <c r="D8" s="113" t="s">
        <v>14</v>
      </c>
      <c r="E8" s="114"/>
      <c r="F8" s="114"/>
      <c r="G8" s="114"/>
      <c r="H8" s="114"/>
      <c r="I8" s="113" t="s">
        <v>15</v>
      </c>
      <c r="J8" s="114"/>
      <c r="K8" s="115"/>
      <c r="Q8" s="90" t="s">
        <v>16</v>
      </c>
    </row>
    <row r="9" spans="1:23" ht="14.4" thickBot="1" x14ac:dyDescent="0.35">
      <c r="D9" s="6" t="s">
        <v>17</v>
      </c>
      <c r="E9" s="7" t="s">
        <v>18</v>
      </c>
      <c r="F9" s="81" t="s">
        <v>19</v>
      </c>
      <c r="G9" s="81" t="s">
        <v>20</v>
      </c>
      <c r="H9" s="82" t="s">
        <v>21</v>
      </c>
      <c r="I9" s="7" t="s">
        <v>22</v>
      </c>
      <c r="J9" s="7" t="s">
        <v>23</v>
      </c>
      <c r="K9" s="8" t="s">
        <v>24</v>
      </c>
      <c r="L9" t="s">
        <v>25</v>
      </c>
      <c r="M9" t="s">
        <v>26</v>
      </c>
      <c r="N9" t="s">
        <v>27</v>
      </c>
      <c r="O9" t="s">
        <v>28</v>
      </c>
      <c r="Q9" s="90" t="s">
        <v>29</v>
      </c>
    </row>
    <row r="10" spans="1:23" ht="16.95" customHeight="1" x14ac:dyDescent="0.3">
      <c r="C10" s="3" t="s">
        <v>30</v>
      </c>
      <c r="D10" s="34">
        <v>0</v>
      </c>
      <c r="E10" s="93" t="s">
        <v>81</v>
      </c>
      <c r="F10" s="94" t="s">
        <v>112</v>
      </c>
      <c r="G10" s="93"/>
      <c r="H10" s="93"/>
      <c r="I10" s="94" t="s">
        <v>82</v>
      </c>
      <c r="J10" s="101"/>
      <c r="K10" s="102"/>
      <c r="L10" s="4">
        <f>Start_date+Start_time</f>
        <v>44429.25</v>
      </c>
      <c r="M10" s="4">
        <f>L10+"1:00"</f>
        <v>44429.291666666664</v>
      </c>
      <c r="N10" s="5">
        <f>IF(ISBLANK(Distance),"",Open Control_1)</f>
        <v>44429.25</v>
      </c>
      <c r="O10" s="5">
        <f>IF(ISBLANK(Distance),"",Close Control_1)</f>
        <v>44429.291666666664</v>
      </c>
      <c r="Q10" s="90" t="s">
        <v>31</v>
      </c>
    </row>
    <row r="11" spans="1:23" ht="16.95" customHeight="1" x14ac:dyDescent="0.3">
      <c r="C11" s="3" t="s">
        <v>32</v>
      </c>
      <c r="D11" s="34">
        <v>30.1</v>
      </c>
      <c r="E11" s="93" t="s">
        <v>83</v>
      </c>
      <c r="F11" s="94" t="s">
        <v>97</v>
      </c>
      <c r="G11" s="94"/>
      <c r="H11" s="95"/>
      <c r="I11" s="94" t="s">
        <v>84</v>
      </c>
      <c r="J11" s="101"/>
      <c r="K11" s="102"/>
      <c r="L11">
        <f>IF(ISBLANK(Distance),"",IF(Distance&gt;1000,(Distance-1000)/26+33.0847,(IF(Distance&gt;600,(Distance-600)/28+18.799,(IF(Distance&gt;400,(Distance-400)/30+12.1324,(IF(Distance&gt;200,(Distance-200)/32+5.8824,Distance/34))))))))</f>
        <v>0.8852941176470589</v>
      </c>
      <c r="M11">
        <f>IF(ISBLANK(Distance),"",IF(Distance&gt;=brevet,IF(brevet&gt;1200,(brevet-1200)*75/1000+90,Max_time),IF(Distance&gt;1200,(Distance-1200)*75/1000+90,IF(Distance&gt;1000,(Distance-1000)/(1000/75)+75,IF(Distance&gt;600,(Distance-600)/(400/35)+40,Distance/15)))))</f>
        <v>2.0066666666666668</v>
      </c>
      <c r="N11" s="5">
        <f>IF(ISBLANK(Distance),"",Open_time Control_1+(INT(Open)&amp;":"&amp;IF(ROUND(((Open-INT(Open))*60),0)&lt;10,0,"")&amp;ROUND(((Open-INT(Open))*60),0)))</f>
        <v>44429.286805555559</v>
      </c>
      <c r="O11" s="5">
        <f>IF(ISBLANK(Distance),"",Open_time Control_1+(INT(Close)&amp;":"&amp;IF(ROUND(((Close-INT(Close))*60),0)&lt;10,0,"")&amp;ROUND(((Close-INT(Close))*60),0)))</f>
        <v>44429.333333333336</v>
      </c>
      <c r="Q11" s="90" t="s">
        <v>33</v>
      </c>
    </row>
    <row r="12" spans="1:23" ht="16.95" customHeight="1" x14ac:dyDescent="0.3">
      <c r="C12" s="3" t="s">
        <v>34</v>
      </c>
      <c r="D12" s="34">
        <v>58</v>
      </c>
      <c r="E12" s="93" t="s">
        <v>85</v>
      </c>
      <c r="F12" s="94" t="s">
        <v>96</v>
      </c>
      <c r="G12" s="94"/>
      <c r="H12" s="95"/>
      <c r="I12" s="94" t="s">
        <v>86</v>
      </c>
      <c r="J12" s="101"/>
      <c r="K12" s="102"/>
      <c r="L12">
        <f>IF(ISBLANK(Distance),"",IF(Distance&gt;1000,(Distance-1000)/26+33.0847,(IF(Distance&gt;600,(Distance-600)/28+18.799,(IF(Distance&gt;400,(Distance-400)/30+12.1324,(IF(Distance&gt;200,(Distance-200)/32+5.8824,Distance/34))))))))</f>
        <v>1.7058823529411764</v>
      </c>
      <c r="M12">
        <f t="shared" ref="M12:M19" si="0">IF(ISBLANK(Distance),"",IF(Distance&gt;=brevet,IF(brevet&gt;1200,(brevet-1200)*75/1000+90,Max_time),IF(Distance&gt;1200,(Distance-1200)*75/1000+90,IF(Distance&gt;1000,(Distance-1000)/(1000/75)+75,IF(Distance&gt;600,(Distance-600)/(400/35)+40,Distance/15)))))</f>
        <v>3.8666666666666667</v>
      </c>
      <c r="N12" s="5">
        <f>IF(ISBLANK(Distance),"",Open_time Control_1+(INT(Open)&amp;":"&amp;IF(ROUND(((Open-INT(Open))*60),0)&lt;10,0,"")&amp;ROUND(((Open-INT(Open))*60),0)))</f>
        <v>44429.320833333331</v>
      </c>
      <c r="O12" s="5">
        <f>IF(ISBLANK(Distance),"",Open_time Control_1+(INT(Close)&amp;":"&amp;IF(ROUND(((Close-INT(Close))*60),0)&lt;10,0,"")&amp;ROUND(((Close-INT(Close))*60),0)))</f>
        <v>44429.411111111112</v>
      </c>
    </row>
    <row r="13" spans="1:23" ht="16.95" customHeight="1" x14ac:dyDescent="0.3">
      <c r="C13" s="3" t="s">
        <v>35</v>
      </c>
      <c r="D13" s="34">
        <v>99.1</v>
      </c>
      <c r="E13" s="93" t="s">
        <v>94</v>
      </c>
      <c r="F13" s="94" t="s">
        <v>95</v>
      </c>
      <c r="G13" s="94"/>
      <c r="H13" s="95"/>
      <c r="I13" s="94" t="s">
        <v>87</v>
      </c>
      <c r="J13" s="101"/>
      <c r="K13" s="102"/>
      <c r="L13">
        <f t="shared" ref="L13:L19" si="1">IF(ISBLANK(Distance),"",IF(Distance&gt;1000,(Distance-1000)/26+33.0847,(IF(Distance&gt;600,(Distance-600)/28+18.799,(IF(Distance&gt;400,(Distance-400)/30+12.1324,(IF(Distance&gt;200,(Distance-200)/32+5.8824,Distance/34))))))))</f>
        <v>2.914705882352941</v>
      </c>
      <c r="M13">
        <f t="shared" si="0"/>
        <v>6.6066666666666665</v>
      </c>
      <c r="N13" s="5">
        <f>IF(ISBLANK(Distance),"",Open_time Control_1+(INT(Open)&amp;":"&amp;IF(ROUND(((Open-INT(Open))*60),0)&lt;10,0,"")&amp;ROUND(((Open-INT(Open))*60),0)))</f>
        <v>44429.371527777781</v>
      </c>
      <c r="O13" s="5">
        <f>IF(ISBLANK(Distance),"",Open_time Control_1+(INT(Close)&amp;":"&amp;IF(ROUND(((Close-INT(Close))*60),0)&lt;10,0,"")&amp;ROUND(((Close-INT(Close))*60),0)))</f>
        <v>44429.525000000001</v>
      </c>
    </row>
    <row r="14" spans="1:23" ht="16.95" customHeight="1" x14ac:dyDescent="0.3">
      <c r="C14" s="3" t="s">
        <v>36</v>
      </c>
      <c r="D14" s="34">
        <v>118.1</v>
      </c>
      <c r="E14" s="93" t="s">
        <v>92</v>
      </c>
      <c r="F14" s="94" t="s">
        <v>93</v>
      </c>
      <c r="G14" s="93"/>
      <c r="H14" s="95"/>
      <c r="I14" s="94" t="s">
        <v>89</v>
      </c>
      <c r="J14" s="101"/>
      <c r="K14" s="102"/>
      <c r="L14">
        <f t="shared" si="1"/>
        <v>3.4735294117647055</v>
      </c>
      <c r="M14">
        <f t="shared" si="0"/>
        <v>7.8733333333333331</v>
      </c>
      <c r="N14" s="5">
        <f>IF(ISBLANK(Distance),"",Open_time Control_1+(INT(Open)&amp;":"&amp;IF(ROUND(((Open-INT(Open))*60),0)&lt;10,0,"")&amp;ROUND(((Open-INT(Open))*60),0)))</f>
        <v>44429.394444444442</v>
      </c>
      <c r="O14" s="5">
        <f>IF(ISBLANK(Distance),"",Open_time Control_1+(INT(Close)&amp;":"&amp;IF(ROUND(((Close-INT(Close))*60),0)&lt;10,0,"")&amp;ROUND(((Close-INT(Close))*60),0)))</f>
        <v>44429.577777777777</v>
      </c>
      <c r="Q14" s="91" t="s">
        <v>37</v>
      </c>
    </row>
    <row r="15" spans="1:23" ht="16.95" customHeight="1" x14ac:dyDescent="0.3">
      <c r="C15" s="3" t="s">
        <v>38</v>
      </c>
      <c r="D15" s="34">
        <v>141.19999999999999</v>
      </c>
      <c r="E15" s="93" t="s">
        <v>90</v>
      </c>
      <c r="F15" s="94" t="s">
        <v>91</v>
      </c>
      <c r="G15" s="94"/>
      <c r="H15" s="95"/>
      <c r="I15" s="94" t="s">
        <v>88</v>
      </c>
      <c r="J15" s="101"/>
      <c r="K15" s="102"/>
      <c r="L15">
        <f t="shared" si="1"/>
        <v>4.1529411764705877</v>
      </c>
      <c r="M15">
        <f t="shared" si="0"/>
        <v>9.4133333333333322</v>
      </c>
      <c r="N15" s="5">
        <f>IF(ISBLANK(Distance),"",Open_time Control_1+(INT(Open)&amp;":"&amp;IF(ROUND(((Open-INT(Open))*60),0)&lt;10,0,"")&amp;ROUND(((Open-INT(Open))*60),0)))</f>
        <v>44429.42291666667</v>
      </c>
      <c r="O15" s="5">
        <f>IF(ISBLANK(Distance),"",Open_time Control_1+(INT(Close)&amp;":"&amp;IF(ROUND(((Close-INT(Close))*60),0)&lt;10,0,"")&amp;ROUND(((Close-INT(Close))*60),0)))</f>
        <v>44429.642361111109</v>
      </c>
    </row>
    <row r="16" spans="1:23" ht="16.95" customHeight="1" x14ac:dyDescent="0.3">
      <c r="C16" s="3" t="s">
        <v>39</v>
      </c>
      <c r="D16" s="34">
        <v>184.5</v>
      </c>
      <c r="E16" s="93" t="s">
        <v>98</v>
      </c>
      <c r="F16" s="93" t="s">
        <v>99</v>
      </c>
      <c r="G16" s="94"/>
      <c r="H16" s="95"/>
      <c r="I16" s="101" t="s">
        <v>100</v>
      </c>
      <c r="J16" s="101"/>
      <c r="K16" s="102"/>
      <c r="L16">
        <f t="shared" si="1"/>
        <v>5.4264705882352944</v>
      </c>
      <c r="M16">
        <f t="shared" si="0"/>
        <v>12.3</v>
      </c>
      <c r="N16" s="5">
        <f>IF(ISBLANK(Distance),"",Open_time Control_1+(INT(Open)&amp;":"&amp;IF(ROUND(((Open-INT(Open))*60),0)&lt;10,0,"")&amp;ROUND(((Open-INT(Open))*60),0)))</f>
        <v>44429.476388888892</v>
      </c>
      <c r="O16" s="5">
        <f>IF(ISBLANK(Distance),"",Open_time Control_1+(INT(Close)&amp;":"&amp;IF(ROUND(((Close-INT(Close))*60),0)&lt;10,0,"")&amp;ROUND(((Close-INT(Close))*60),0)))</f>
        <v>44429.762499999997</v>
      </c>
    </row>
    <row r="17" spans="3:15" ht="16.95" customHeight="1" x14ac:dyDescent="0.3">
      <c r="C17" s="3" t="s">
        <v>40</v>
      </c>
      <c r="D17" s="34">
        <v>233.8</v>
      </c>
      <c r="E17" s="93" t="s">
        <v>105</v>
      </c>
      <c r="F17" s="94" t="s">
        <v>102</v>
      </c>
      <c r="G17" s="94"/>
      <c r="H17" s="95"/>
      <c r="I17" s="101" t="s">
        <v>101</v>
      </c>
      <c r="J17" s="101"/>
      <c r="K17" s="102"/>
      <c r="L17">
        <f t="shared" si="1"/>
        <v>6.93865</v>
      </c>
      <c r="M17">
        <f t="shared" si="0"/>
        <v>15.586666666666668</v>
      </c>
      <c r="N17" s="5">
        <f>IF(ISBLANK(Distance),"",Open_time Control_1+(INT(Open)&amp;":"&amp;IF(ROUND(((Open-INT(Open))*60),0)&lt;10,0,"")&amp;ROUND(((Open-INT(Open))*60),0)))</f>
        <v>44429.538888888892</v>
      </c>
      <c r="O17" s="5">
        <f>IF(ISBLANK(Distance),"",Open_time Control_1+(INT(Close)&amp;":"&amp;IF(ROUND(((Close-INT(Close))*60),0)&lt;10,0,"")&amp;ROUND(((Close-INT(Close))*60),0)))</f>
        <v>44429.899305555555</v>
      </c>
    </row>
    <row r="18" spans="3:15" ht="16.95" customHeight="1" x14ac:dyDescent="0.3">
      <c r="C18" s="3" t="s">
        <v>41</v>
      </c>
      <c r="D18" s="34">
        <v>273.7</v>
      </c>
      <c r="E18" s="93" t="s">
        <v>106</v>
      </c>
      <c r="F18" s="94" t="s">
        <v>107</v>
      </c>
      <c r="G18" s="94"/>
      <c r="H18" s="95"/>
      <c r="I18" s="101" t="s">
        <v>108</v>
      </c>
      <c r="J18" s="101"/>
      <c r="K18" s="102"/>
      <c r="L18">
        <f t="shared" si="1"/>
        <v>8.1855249999999984</v>
      </c>
      <c r="M18">
        <f t="shared" si="0"/>
        <v>18.246666666666666</v>
      </c>
      <c r="N18" s="5">
        <f>IF(ISBLANK(Distance),"",Open_time Control_1+(INT(Open)&amp;":"&amp;IF(ROUND(((Open-INT(Open))*60),0)&lt;10,0,"")&amp;ROUND(((Open-INT(Open))*60),0)))</f>
        <v>44429.59097222222</v>
      </c>
      <c r="O18" s="5">
        <f>IF(ISBLANK(Distance),"",Open_time Control_1+(INT(Close)&amp;":"&amp;IF(ROUND(((Close-INT(Close))*60),0)&lt;10,0,"")&amp;ROUND(((Close-INT(Close))*60),0)))</f>
        <v>44430.010416666664</v>
      </c>
    </row>
    <row r="19" spans="3:15" ht="16.95" customHeight="1" thickBot="1" x14ac:dyDescent="0.35">
      <c r="C19" s="3" t="s">
        <v>42</v>
      </c>
      <c r="D19" s="34"/>
      <c r="E19" s="93"/>
      <c r="F19" s="94"/>
      <c r="G19" s="104"/>
      <c r="H19" s="105"/>
      <c r="I19" s="104"/>
      <c r="J19" s="104"/>
      <c r="K19" s="105"/>
      <c r="L19" t="str">
        <f t="shared" si="1"/>
        <v/>
      </c>
      <c r="M19" t="str">
        <f t="shared" si="0"/>
        <v/>
      </c>
      <c r="N19" s="5" t="str">
        <f>IF(ISBLANK(Distance),"",Open_time Control_1+(INT(Open)&amp;":"&amp;IF(ROUND(((Open-INT(Open))*60),0)&lt;10,0,"")&amp;ROUND(((Open-INT(Open))*60),0)))</f>
        <v/>
      </c>
      <c r="O19" s="5" t="str">
        <f>IF(ISBLANK(Distance),"",Open_time Control_1+(INT(Close)&amp;":"&amp;IF(ROUND(((Close-INT(Close))*60),0)&lt;10,0,"")&amp;ROUND(((Close-INT(Close))*60),0)))</f>
        <v/>
      </c>
    </row>
    <row r="20" spans="3:15" ht="7.05" customHeight="1" thickBot="1" x14ac:dyDescent="0.4">
      <c r="D20" s="83"/>
      <c r="E20" s="84"/>
      <c r="F20" s="85"/>
      <c r="G20" s="85"/>
      <c r="H20" s="85"/>
      <c r="I20" s="85"/>
      <c r="J20" s="85"/>
      <c r="K20" s="86"/>
      <c r="N20" s="5"/>
      <c r="O20" s="5"/>
    </row>
    <row r="21" spans="3:15" ht="13.8" thickBot="1" x14ac:dyDescent="0.3">
      <c r="D21" s="113" t="s">
        <v>43</v>
      </c>
      <c r="E21" s="114"/>
      <c r="F21" s="114"/>
      <c r="G21" s="114"/>
      <c r="H21" s="114"/>
      <c r="I21" s="113" t="s">
        <v>44</v>
      </c>
      <c r="J21" s="114"/>
      <c r="K21" s="115"/>
    </row>
    <row r="22" spans="3:15" ht="14.4" thickBot="1" x14ac:dyDescent="0.35">
      <c r="D22" s="6" t="s">
        <v>17</v>
      </c>
      <c r="E22" s="7" t="s">
        <v>18</v>
      </c>
      <c r="F22" s="81" t="s">
        <v>19</v>
      </c>
      <c r="G22" s="81" t="s">
        <v>20</v>
      </c>
      <c r="H22" s="82" t="s">
        <v>21</v>
      </c>
      <c r="I22" s="7" t="s">
        <v>22</v>
      </c>
      <c r="J22" s="7" t="s">
        <v>23</v>
      </c>
      <c r="K22" s="8" t="s">
        <v>24</v>
      </c>
      <c r="L22" t="s">
        <v>25</v>
      </c>
      <c r="M22" t="s">
        <v>26</v>
      </c>
      <c r="N22" t="s">
        <v>27</v>
      </c>
      <c r="O22" t="s">
        <v>28</v>
      </c>
    </row>
    <row r="23" spans="3:15" ht="16.2" thickBot="1" x14ac:dyDescent="0.35">
      <c r="D23" s="34">
        <v>324.5</v>
      </c>
      <c r="E23" s="93" t="s">
        <v>103</v>
      </c>
      <c r="F23" s="94" t="s">
        <v>104</v>
      </c>
      <c r="G23" s="104" t="s">
        <v>113</v>
      </c>
      <c r="H23" s="105"/>
      <c r="I23" s="138" t="s">
        <v>114</v>
      </c>
      <c r="J23" s="104"/>
      <c r="K23" s="102"/>
      <c r="L23">
        <f>IF(ISBLANK(D23),"",IF(D23&gt;1000,(D23-1000)/26+33.0847,(IF(D23&gt;600,(D23-600)/28+18.799,(IF(D23&gt;400,(D23-400)/30+12.1324,(IF(D23&gt;200,(D23-200)/32+5.8824,D23/34))))))))</f>
        <v>9.7730250000000005</v>
      </c>
      <c r="M23">
        <f>IF(ISBLANK(D23),"",IF(D23=0,(L23+1),IF(D23&gt;=brevet,IF(brevet&gt;1200,(brevet-1200)*75/1000+90,Max_time),IF(D23&gt;1200,(D23-1200)*75/1000+90,IF(D23&gt;1000,(D23-1000)/(1000/75)+75,IF(D23&gt;600,(D23-600)/(400/35)+40,D23/15))))))</f>
        <v>21.633333333333333</v>
      </c>
      <c r="N23" s="5">
        <f>IF(ISBLANK(D23),"",Open_time Control_1+(INT(L23)&amp;":"&amp;IF(ROUND(((L23-INT(L23))*60),0)&lt;10,0,"")&amp;ROUND(((L23-INT(L23))*60),0)))</f>
        <v>44429.656944444447</v>
      </c>
      <c r="O23" s="5">
        <f>IF(ISBLANK(D23),"",Open_time Control_1+(INT(M23)&amp;":"&amp;IF(ROUND(((M23-INT(M23))*60),0)&lt;10,0,"")&amp;ROUND(((M23-INT(M23))*60),0)))</f>
        <v>44430.151388888888</v>
      </c>
    </row>
    <row r="24" spans="3:15" ht="16.95" customHeight="1" x14ac:dyDescent="0.3">
      <c r="D24" s="34">
        <v>401.1</v>
      </c>
      <c r="E24" s="93" t="s">
        <v>109</v>
      </c>
      <c r="F24" s="94" t="s">
        <v>110</v>
      </c>
      <c r="G24" s="94"/>
      <c r="H24" s="95"/>
      <c r="I24" s="94" t="s">
        <v>111</v>
      </c>
      <c r="J24" s="101"/>
      <c r="K24" s="102"/>
      <c r="L24">
        <f t="shared" ref="L24:L32" si="2">IF(ISBLANK(D24),"",IF(D24&gt;1000,(D24-1000)/26+33.0847,(IF(D24&gt;600,(D24-600)/28+18.799,(IF(D24&gt;400,(D24-400)/30+12.1324,(IF(D24&gt;200,(D24-200)/32+5.8824,D24/34))))))))</f>
        <v>12.169066666666668</v>
      </c>
      <c r="M24">
        <f t="shared" ref="M24:M32" si="3">IF(ISBLANK(D24),"",IF(D24&gt;=brevet,IF(brevet&gt;1200,(brevet-1200)*75/1000+90,Max_time),IF(D24&gt;1200,(D24-1200)*75/1000+90,IF(D24&gt;1000,(D24-1000)/(1000/75)+75,IF(D24&gt;600,(D24-600)/(400/35)+40,D24/15)))))</f>
        <v>27</v>
      </c>
      <c r="N24" s="5">
        <f>IF(ISBLANK(D24),"",Open_time Control_1+(INT(L24)&amp;":"&amp;IF(ROUND(((L24-INT(L24))*60),0)&lt;10,0,"")&amp;ROUND(((L24-INT(L24))*60),0)))</f>
        <v>44429.756944444445</v>
      </c>
      <c r="O24" s="5">
        <f>IF(ISBLANK(D24),"",Open_time Control_1+(INT(M24)&amp;":"&amp;IF(ROUND(((M24-INT(M24))*60),0)&lt;10,0,"")&amp;ROUND(((M24-INT(M24))*60),0)))</f>
        <v>44430.375</v>
      </c>
    </row>
    <row r="25" spans="3:15" ht="16.95" customHeight="1" x14ac:dyDescent="0.3">
      <c r="D25" s="34"/>
      <c r="E25" s="93"/>
      <c r="F25" s="94"/>
      <c r="G25" s="94"/>
      <c r="H25" s="95"/>
      <c r="I25" s="94"/>
      <c r="J25" s="101"/>
      <c r="K25" s="102"/>
      <c r="L25" t="str">
        <f t="shared" si="2"/>
        <v/>
      </c>
      <c r="M25" t="str">
        <f t="shared" si="3"/>
        <v/>
      </c>
      <c r="N25" s="5" t="str">
        <f>IF(ISBLANK(D25),"",Open_time Control_1+(INT(L25)&amp;":"&amp;IF(ROUND(((L25-INT(L25))*60),0)&lt;10,0,"")&amp;ROUND(((L25-INT(L25))*60),0)))</f>
        <v/>
      </c>
      <c r="O25" s="5" t="str">
        <f>IF(ISBLANK(D25),"",Open_time Control_1+(INT(M25)&amp;":"&amp;IF(ROUND(((M25-INT(M25))*60),0)&lt;10,0,"")&amp;ROUND(((M25-INT(M25))*60),0)))</f>
        <v/>
      </c>
    </row>
    <row r="26" spans="3:15" ht="16.95" customHeight="1" x14ac:dyDescent="0.3">
      <c r="D26" s="34"/>
      <c r="E26" s="93"/>
      <c r="F26" s="94"/>
      <c r="G26" s="94"/>
      <c r="H26" s="95"/>
      <c r="I26" s="94"/>
      <c r="J26" s="101"/>
      <c r="K26" s="102"/>
      <c r="L26" t="str">
        <f t="shared" si="2"/>
        <v/>
      </c>
      <c r="M26" t="str">
        <f t="shared" si="3"/>
        <v/>
      </c>
      <c r="N26" s="5" t="str">
        <f>IF(ISBLANK(D26),"",Open_time Control_1+(INT(L26)&amp;":"&amp;IF(ROUND(((L26-INT(L26))*60),0)&lt;10,0,"")&amp;ROUND(((L26-INT(L26))*60),0)))</f>
        <v/>
      </c>
      <c r="O26" s="5" t="str">
        <f>IF(ISBLANK(D26),"",Open_time Control_1+(INT(M26)&amp;":"&amp;IF(ROUND(((M26-INT(M26))*60),0)&lt;10,0,"")&amp;ROUND(((M26-INT(M26))*60),0)))</f>
        <v/>
      </c>
    </row>
    <row r="27" spans="3:15" ht="16.95" customHeight="1" x14ac:dyDescent="0.3">
      <c r="D27" s="34"/>
      <c r="E27" s="93"/>
      <c r="F27" s="94"/>
      <c r="G27" s="94"/>
      <c r="H27" s="95"/>
      <c r="I27" s="94"/>
      <c r="J27" s="101"/>
      <c r="K27" s="102"/>
      <c r="L27" t="str">
        <f t="shared" si="2"/>
        <v/>
      </c>
      <c r="M27" t="str">
        <f t="shared" si="3"/>
        <v/>
      </c>
      <c r="N27" s="5" t="str">
        <f>IF(ISBLANK(D27),"",Open_time Control_1+(INT(L27)&amp;":"&amp;IF(ROUND(((L27-INT(L27))*60),0)&lt;10,0,"")&amp;ROUND(((L27-INT(L27))*60),0)))</f>
        <v/>
      </c>
      <c r="O27" s="5" t="str">
        <f>IF(ISBLANK(D27),"",Open_time Control_1+(INT(M27)&amp;":"&amp;IF(ROUND(((M27-INT(M27))*60),0)&lt;10,0,"")&amp;ROUND(((M27-INT(M27))*60),0)))</f>
        <v/>
      </c>
    </row>
    <row r="28" spans="3:15" ht="16.95" customHeight="1" x14ac:dyDescent="0.3">
      <c r="D28" s="34"/>
      <c r="E28" s="93"/>
      <c r="F28" s="94"/>
      <c r="G28" s="94"/>
      <c r="H28" s="95"/>
      <c r="I28" s="94"/>
      <c r="J28" s="101"/>
      <c r="K28" s="102"/>
      <c r="L28" t="str">
        <f t="shared" si="2"/>
        <v/>
      </c>
      <c r="M28" t="str">
        <f t="shared" si="3"/>
        <v/>
      </c>
      <c r="N28" s="5" t="str">
        <f>IF(ISBLANK(D28),"",Open_time Control_1+(INT(L28)&amp;":"&amp;IF(ROUND(((L28-INT(L28))*60),0)&lt;10,0,"")&amp;ROUND(((L28-INT(L28))*60),0)))</f>
        <v/>
      </c>
      <c r="O28" s="5" t="str">
        <f>IF(ISBLANK(D28),"",Open_time Control_1+(INT(M28)&amp;":"&amp;IF(ROUND(((M28-INT(M28))*60),0)&lt;10,0,"")&amp;ROUND(((M28-INT(M28))*60),0)))</f>
        <v/>
      </c>
    </row>
    <row r="29" spans="3:15" ht="16.95" customHeight="1" x14ac:dyDescent="0.3">
      <c r="D29" s="34"/>
      <c r="E29" s="93"/>
      <c r="F29" s="94"/>
      <c r="G29" s="94"/>
      <c r="H29" s="95"/>
      <c r="I29" s="101"/>
      <c r="J29" s="101"/>
      <c r="K29" s="102"/>
      <c r="L29" t="str">
        <f t="shared" si="2"/>
        <v/>
      </c>
      <c r="M29" t="str">
        <f t="shared" si="3"/>
        <v/>
      </c>
      <c r="N29" s="5" t="str">
        <f>IF(ISBLANK(D29),"",Open_time Control_1+(INT(L29)&amp;":"&amp;IF(ROUND(((L29-INT(L29))*60),0)&lt;10,0,"")&amp;ROUND(((L29-INT(L29))*60),0)))</f>
        <v/>
      </c>
      <c r="O29" s="5" t="str">
        <f>IF(ISBLANK(D29),"",Open_time Control_1+(INT(M29)&amp;":"&amp;IF(ROUND(((M29-INT(M29))*60),0)&lt;10,0,"")&amp;ROUND(((M29-INT(M29))*60),0)))</f>
        <v/>
      </c>
    </row>
    <row r="30" spans="3:15" ht="16.95" customHeight="1" x14ac:dyDescent="0.3">
      <c r="D30" s="34"/>
      <c r="E30" s="93"/>
      <c r="F30" s="94"/>
      <c r="G30" s="94"/>
      <c r="H30" s="95"/>
      <c r="I30" s="101"/>
      <c r="J30" s="101"/>
      <c r="K30" s="102"/>
      <c r="L30" t="str">
        <f t="shared" si="2"/>
        <v/>
      </c>
      <c r="M30" t="str">
        <f t="shared" si="3"/>
        <v/>
      </c>
      <c r="N30" s="5" t="str">
        <f>IF(ISBLANK(D30),"",Open_time Control_1+(INT(L30)&amp;":"&amp;IF(ROUND(((L30-INT(L30))*60),0)&lt;10,0,"")&amp;ROUND(((L30-INT(L30))*60),0)))</f>
        <v/>
      </c>
      <c r="O30" s="5" t="str">
        <f>IF(ISBLANK(D30),"",Open_time Control_1+(INT(M30)&amp;":"&amp;IF(ROUND(((M30-INT(M30))*60),0)&lt;10,0,"")&amp;ROUND(((M30-INT(M30))*60),0)))</f>
        <v/>
      </c>
    </row>
    <row r="31" spans="3:15" ht="16.95" customHeight="1" x14ac:dyDescent="0.3">
      <c r="D31" s="34"/>
      <c r="E31" s="93"/>
      <c r="F31" s="94"/>
      <c r="G31" s="94"/>
      <c r="H31" s="95"/>
      <c r="I31" s="101"/>
      <c r="J31" s="101"/>
      <c r="K31" s="102"/>
      <c r="L31" t="str">
        <f t="shared" si="2"/>
        <v/>
      </c>
      <c r="M31" t="str">
        <f t="shared" si="3"/>
        <v/>
      </c>
      <c r="N31" s="5" t="str">
        <f>IF(ISBLANK(D31),"",Open_time Control_1+(INT(L31)&amp;":"&amp;IF(ROUND(((L31-INT(L31))*60),0)&lt;10,0,"")&amp;ROUND(((L31-INT(L31))*60),0)))</f>
        <v/>
      </c>
      <c r="O31" s="5" t="str">
        <f>IF(ISBLANK(D31),"",Open_time Control_1+(INT(M31)&amp;":"&amp;IF(ROUND(((M31-INT(M31))*60),0)&lt;10,0,"")&amp;ROUND(((M31-INT(M31))*60),0)))</f>
        <v/>
      </c>
    </row>
    <row r="32" spans="3:15" ht="16.95" customHeight="1" thickBot="1" x14ac:dyDescent="0.35">
      <c r="D32" s="63"/>
      <c r="E32" s="103"/>
      <c r="F32" s="104"/>
      <c r="G32" s="104"/>
      <c r="H32" s="105"/>
      <c r="I32" s="104"/>
      <c r="J32" s="104"/>
      <c r="K32" s="105"/>
      <c r="L32" t="str">
        <f t="shared" si="2"/>
        <v/>
      </c>
      <c r="M32" t="str">
        <f t="shared" si="3"/>
        <v/>
      </c>
      <c r="N32" s="5" t="str">
        <f>IF(ISBLANK(D32),"",Open_time Control_1+(INT(L32)&amp;":"&amp;IF(ROUND(((L32-INT(L32))*60),0)&lt;10,0,"")&amp;ROUND(((L32-INT(L32))*60),0)))</f>
        <v/>
      </c>
      <c r="O32" s="5" t="str">
        <f>IF(ISBLANK(D32),"",Open_time Control_1+(INT(M32)&amp;":"&amp;IF(ROUND(((M32-INT(M32))*60),0)&lt;10,0,"")&amp;ROUND(((M32-INT(M32))*60),0)))</f>
        <v/>
      </c>
    </row>
  </sheetData>
  <mergeCells count="5">
    <mergeCell ref="J1:K1"/>
    <mergeCell ref="D8:H8"/>
    <mergeCell ref="D21:H21"/>
    <mergeCell ref="I8:K8"/>
    <mergeCell ref="I21:K21"/>
  </mergeCells>
  <phoneticPr fontId="16" type="noConversion"/>
  <pageMargins left="0.75" right="0.75" top="1" bottom="1" header="0.5" footer="0.5"/>
  <pageSetup orientation="portrait" horizontalDpi="4294967292" verticalDpi="4294967292" r:id="rId1"/>
  <headerFooter>
    <oddHeader>&amp;A</oddHeader>
    <oddFooter>Page &amp;P</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abSelected="1" zoomScale="55" zoomScaleNormal="55" zoomScalePageLayoutView="92" workbookViewId="0">
      <selection activeCell="Z5" sqref="Z5"/>
    </sheetView>
  </sheetViews>
  <sheetFormatPr defaultColWidth="8.77734375" defaultRowHeight="13.2" x14ac:dyDescent="0.25"/>
  <cols>
    <col min="1" max="1" width="10.77734375" style="1" customWidth="1"/>
    <col min="2" max="2" width="13.77734375" customWidth="1"/>
    <col min="3" max="3" width="12.44140625" customWidth="1"/>
    <col min="4" max="4" width="18" customWidth="1"/>
    <col min="5" max="5" width="23.77734375" customWidth="1"/>
    <col min="6" max="6" width="50.77734375" customWidth="1"/>
    <col min="7" max="7" width="25.77734375" customWidth="1"/>
    <col min="8" max="8" width="8" style="36" customWidth="1"/>
    <col min="9" max="9" width="17.44140625" customWidth="1"/>
    <col min="15" max="15" width="11.21875" customWidth="1"/>
    <col min="18" max="19" width="8.77734375" customWidth="1"/>
  </cols>
  <sheetData>
    <row r="1" spans="1:22" ht="45" customHeight="1" thickBot="1" x14ac:dyDescent="0.3">
      <c r="A1" s="126" t="s">
        <v>45</v>
      </c>
      <c r="B1" s="126"/>
      <c r="C1" s="126"/>
      <c r="D1" s="126"/>
      <c r="E1" s="126"/>
      <c r="F1" s="126"/>
      <c r="G1" s="126"/>
      <c r="H1" s="35" t="s">
        <v>46</v>
      </c>
    </row>
    <row r="2" spans="1:22" ht="42" customHeight="1" thickBot="1" x14ac:dyDescent="0.35">
      <c r="A2" s="92" t="s">
        <v>47</v>
      </c>
      <c r="B2" s="9" t="s">
        <v>25</v>
      </c>
      <c r="C2" s="9" t="s">
        <v>26</v>
      </c>
      <c r="D2" s="9" t="s">
        <v>18</v>
      </c>
      <c r="E2" s="9" t="s">
        <v>48</v>
      </c>
      <c r="F2" s="9" t="s">
        <v>49</v>
      </c>
      <c r="G2" s="92" t="s">
        <v>50</v>
      </c>
      <c r="H2" s="35" t="s">
        <v>46</v>
      </c>
      <c r="K2" s="139" t="s">
        <v>51</v>
      </c>
      <c r="L2" s="139"/>
      <c r="M2" s="139"/>
      <c r="N2" s="139"/>
      <c r="O2" s="139"/>
      <c r="P2" s="139"/>
      <c r="Q2" s="139"/>
      <c r="R2" s="139"/>
      <c r="S2" s="139"/>
      <c r="T2" s="139"/>
      <c r="U2" s="139"/>
    </row>
    <row r="3" spans="1:22" ht="49.8" customHeight="1" x14ac:dyDescent="0.7">
      <c r="A3" s="39"/>
      <c r="B3" s="40">
        <f>Control_1 Open_time</f>
        <v>44429.25</v>
      </c>
      <c r="C3" s="40">
        <f>Control_1 Close_time</f>
        <v>44429.291666666664</v>
      </c>
      <c r="D3" s="116" t="str">
        <f>IF(ISBLANK(Locale Control_1),"",Locale Control_1)</f>
        <v>New Westminster, 434A E Columbia St</v>
      </c>
      <c r="E3" s="107" t="str">
        <f>IF(ISBLANK(Control_1 Establishment_1),"",Control_1 Establishment_1)</f>
        <v>Cap's Bicycles</v>
      </c>
      <c r="F3" s="107" t="str">
        <f>IF(ISBLANK('Control Entry'!I10),"",'Control Entry'!I10)</f>
        <v>Rectangular sign to right of store entrance - F___ A__?</v>
      </c>
      <c r="G3" s="10"/>
      <c r="H3" s="35" t="s">
        <v>46</v>
      </c>
      <c r="K3" s="16"/>
      <c r="O3" s="131" t="s">
        <v>52</v>
      </c>
      <c r="P3" s="131"/>
      <c r="Q3" s="131"/>
      <c r="R3" s="131"/>
      <c r="S3" s="80" t="str">
        <f>IF(ISBLANK('Control Entry'!D23),"","#1")</f>
        <v>#1</v>
      </c>
      <c r="U3" s="52"/>
    </row>
    <row r="4" spans="1:22" ht="36" customHeight="1" x14ac:dyDescent="0.3">
      <c r="A4" s="48">
        <f>IF(ISBLANK(Distance Control_1),"",Control_1 Distance)</f>
        <v>0</v>
      </c>
      <c r="B4" s="49">
        <f>Control_1 Open_time</f>
        <v>44429.25</v>
      </c>
      <c r="C4" s="49">
        <f>Control_1 Close_time</f>
        <v>44429.291666666664</v>
      </c>
      <c r="D4" s="117"/>
      <c r="E4" s="107" t="str">
        <f>IF(ISBLANK(Control_1 Establishment_2),"",Control_1 Establishment_2)</f>
        <v/>
      </c>
      <c r="F4" s="107" t="str">
        <f>IF(ISBLANK('Control Entry'!J10),"",'Control Entry'!J10)</f>
        <v/>
      </c>
      <c r="G4" s="10"/>
      <c r="H4" s="35" t="s">
        <v>46</v>
      </c>
      <c r="K4" s="16"/>
      <c r="M4" s="128" t="str">
        <f>IF(ISBLANK(brevet),"",brevet&amp;" km Randonnée")</f>
        <v>400 km Randonnée</v>
      </c>
      <c r="N4" s="128"/>
      <c r="O4" s="128"/>
      <c r="P4" s="128"/>
      <c r="Q4" s="128"/>
      <c r="R4" s="128"/>
      <c r="S4" s="128"/>
      <c r="T4" s="128"/>
      <c r="U4" s="53"/>
    </row>
    <row r="5" spans="1:22" ht="36" customHeight="1" thickBot="1" x14ac:dyDescent="0.4">
      <c r="A5" s="43"/>
      <c r="B5" s="44">
        <f>Control_1 Open_time</f>
        <v>44429.25</v>
      </c>
      <c r="C5" s="44">
        <f>Control_1 Close_time</f>
        <v>44429.291666666664</v>
      </c>
      <c r="D5" s="118"/>
      <c r="E5" s="108" t="str">
        <f>IF(ISBLANK(Control_1 Establishment_3),"",Control_1 Establishment_3)</f>
        <v/>
      </c>
      <c r="F5" s="110" t="str">
        <f>IF(ISBLANK('Control Entry'!K10),"",'Control Entry'!K10)</f>
        <v/>
      </c>
      <c r="G5" s="11"/>
      <c r="H5" s="35" t="s">
        <v>46</v>
      </c>
      <c r="K5" s="16"/>
      <c r="M5" s="17"/>
      <c r="N5" s="129" t="s">
        <v>53</v>
      </c>
      <c r="O5" s="129"/>
      <c r="P5" s="78">
        <f>IF(ISBLANK(Brevet_Number),"",Brevet_Number)</f>
        <v>5086</v>
      </c>
      <c r="Q5" s="79"/>
      <c r="R5" s="124">
        <f>IF(ISBLANK('Control Entry'!$B5),"",'Control Entry'!$B5)</f>
        <v>44429</v>
      </c>
      <c r="S5" s="124"/>
      <c r="T5" s="124"/>
      <c r="U5" s="124"/>
      <c r="V5" s="54"/>
    </row>
    <row r="6" spans="1:22" ht="36" customHeight="1" x14ac:dyDescent="0.4">
      <c r="A6" s="39"/>
      <c r="B6" s="40">
        <f>Control_2 Open_time</f>
        <v>44429.286805555559</v>
      </c>
      <c r="C6" s="40">
        <f>Control_2 Close_time</f>
        <v>44429.333333333336</v>
      </c>
      <c r="D6" s="116" t="str">
        <f>IF(ISBLANK(Locale Control_2),"",Locale Control_2)</f>
        <v>Langley, Derby Reach Regional Park</v>
      </c>
      <c r="E6" s="107" t="str">
        <f>IF(ISBLANK(Control_2 Establishment_1),"",Control_2 Establishment_1)</f>
        <v>Parking Lot</v>
      </c>
      <c r="F6" s="107" t="str">
        <f>IF(ISBLANK('Control Entry'!I11),"",'Control Entry'!I11)</f>
        <v>What area is this - H_______?</v>
      </c>
      <c r="G6" s="10"/>
      <c r="H6" s="35" t="s">
        <v>46</v>
      </c>
      <c r="K6" s="16"/>
      <c r="L6" s="134" t="str">
        <f>IF(ISBLANK(Brevet_Description),"",Brevet_Description)</f>
        <v>Fraser Valley Meander</v>
      </c>
      <c r="M6" s="134"/>
      <c r="N6" s="134"/>
      <c r="O6" s="134"/>
      <c r="P6" s="134"/>
      <c r="Q6" s="134"/>
      <c r="R6" s="134"/>
      <c r="S6" s="134"/>
      <c r="T6" s="134"/>
      <c r="U6" s="134"/>
    </row>
    <row r="7" spans="1:22" ht="36" customHeight="1" x14ac:dyDescent="0.3">
      <c r="A7" s="48">
        <f>IF(ISBLANK(Distance Control_2),"",Control_2 Distance)</f>
        <v>30.1</v>
      </c>
      <c r="B7" s="49">
        <f>Control_2 Open_time</f>
        <v>44429.286805555559</v>
      </c>
      <c r="C7" s="49">
        <f>Control_2 Close_time</f>
        <v>44429.333333333336</v>
      </c>
      <c r="D7" s="117"/>
      <c r="E7" s="107" t="str">
        <f>IF(ISBLANK(Control_2 Establishment_2),"",Control_2 Establishment_2)</f>
        <v/>
      </c>
      <c r="F7" s="107" t="str">
        <f>IF(ISBLANK('Control Entry'!J11),"",'Control Entry'!J11)</f>
        <v/>
      </c>
      <c r="G7" s="10"/>
      <c r="H7" s="35" t="s">
        <v>46</v>
      </c>
    </row>
    <row r="8" spans="1:22" ht="36" customHeight="1" thickBot="1" x14ac:dyDescent="0.4">
      <c r="A8" s="43"/>
      <c r="B8" s="44">
        <f>Control_2 Open_time</f>
        <v>44429.286805555559</v>
      </c>
      <c r="C8" s="44">
        <f>Control_2 Close_time</f>
        <v>44429.333333333336</v>
      </c>
      <c r="D8" s="118"/>
      <c r="E8" s="108" t="str">
        <f>IF(ISBLANK(Control_2 Establishment_3),"",Control_2 Establishment_3)</f>
        <v/>
      </c>
      <c r="F8" s="108" t="str">
        <f>IF(ISBLANK('Control Entry'!K11),"",'Control Entry'!K11)</f>
        <v/>
      </c>
      <c r="G8" s="11"/>
      <c r="H8" s="35" t="s">
        <v>46</v>
      </c>
      <c r="J8" s="17" t="s">
        <v>54</v>
      </c>
      <c r="L8" s="125"/>
      <c r="M8" s="125"/>
      <c r="N8" s="125"/>
      <c r="O8" s="125"/>
      <c r="P8" s="125"/>
      <c r="Q8" s="125"/>
      <c r="R8" s="36"/>
      <c r="S8" s="55" t="s">
        <v>55</v>
      </c>
      <c r="T8" s="119"/>
      <c r="U8" s="119"/>
    </row>
    <row r="9" spans="1:22" ht="45.6" customHeight="1" thickBot="1" x14ac:dyDescent="0.5">
      <c r="A9" s="39"/>
      <c r="B9" s="40">
        <f>Control_3 Open_time</f>
        <v>44429.320833333331</v>
      </c>
      <c r="C9" s="40">
        <f>Control_3 Close_time</f>
        <v>44429.411111111112</v>
      </c>
      <c r="D9" s="116" t="str">
        <f>IF(ISBLANK(Locale Control_3),"",Locale Control_3)</f>
        <v>Aldergrove, 32 Ave at 271 St</v>
      </c>
      <c r="E9" s="107" t="str">
        <f>IF(ISBLANK(Control_3 Establishment_1),"",Control_3 Establishment_1)</f>
        <v>Old Yellow Building</v>
      </c>
      <c r="F9" s="107" t="str">
        <f>IF(ISBLANK('Control Entry'!I12),"",'Control Entry'!I12)</f>
        <v>Sign above entrance?</v>
      </c>
      <c r="G9" s="10"/>
      <c r="H9" s="35" t="s">
        <v>46</v>
      </c>
      <c r="J9" s="17" t="s">
        <v>56</v>
      </c>
      <c r="K9" s="17"/>
      <c r="L9" s="64" t="s">
        <v>57</v>
      </c>
      <c r="M9" s="23"/>
      <c r="N9" s="23"/>
      <c r="O9" s="23"/>
      <c r="P9" s="23"/>
      <c r="Q9" s="23"/>
      <c r="R9" s="23"/>
      <c r="S9" s="23"/>
      <c r="T9" s="23"/>
      <c r="U9" s="21"/>
    </row>
    <row r="10" spans="1:22" ht="36" customHeight="1" thickBot="1" x14ac:dyDescent="0.45">
      <c r="A10" s="48">
        <f>IF(ISBLANK(Distance Control_3),"",Control_3 Distance)</f>
        <v>58</v>
      </c>
      <c r="B10" s="49">
        <f>Control_3 Open_time</f>
        <v>44429.320833333331</v>
      </c>
      <c r="C10" s="49">
        <f>Control_3 Close_time</f>
        <v>44429.411111111112</v>
      </c>
      <c r="D10" s="117"/>
      <c r="E10" s="107" t="str">
        <f>IF(ISBLANK(Control_3 Establishment_2),"",Control_3 Establishment_2)</f>
        <v/>
      </c>
      <c r="F10" s="107" t="str">
        <f>IF(ISBLANK('Control Entry'!J12),"",'Control Entry'!J12)</f>
        <v/>
      </c>
      <c r="G10" s="10"/>
      <c r="H10" s="35" t="s">
        <v>46</v>
      </c>
      <c r="J10" s="17"/>
      <c r="K10" s="17"/>
      <c r="L10" s="37"/>
      <c r="M10" s="23"/>
      <c r="N10" s="23"/>
      <c r="O10" s="23"/>
      <c r="P10" s="23"/>
      <c r="Q10" s="23"/>
      <c r="R10" s="23"/>
      <c r="S10" s="23"/>
      <c r="T10" s="23"/>
      <c r="U10" s="21"/>
    </row>
    <row r="11" spans="1:22" ht="36" customHeight="1" thickBot="1" x14ac:dyDescent="0.45">
      <c r="A11" s="43"/>
      <c r="B11" s="44">
        <f>Control_3 Open_time</f>
        <v>44429.320833333331</v>
      </c>
      <c r="C11" s="44">
        <f>Control_3 Close_time</f>
        <v>44429.411111111112</v>
      </c>
      <c r="D11" s="118"/>
      <c r="E11" s="108" t="str">
        <f>IF(ISBLANK(Control_3 Establishment_3),"",Control_3 Establishment_3)</f>
        <v/>
      </c>
      <c r="F11" s="108" t="str">
        <f>IF(ISBLANK('Control Entry'!K12),"",'Control Entry'!K12)</f>
        <v/>
      </c>
      <c r="G11" s="11"/>
      <c r="H11" s="35" t="s">
        <v>46</v>
      </c>
      <c r="J11" s="17" t="s">
        <v>58</v>
      </c>
      <c r="K11" s="17"/>
      <c r="L11" s="37"/>
      <c r="M11" s="23"/>
      <c r="N11" s="23"/>
      <c r="O11" s="24"/>
      <c r="P11" s="24" t="s">
        <v>59</v>
      </c>
      <c r="Q11" s="24"/>
      <c r="R11" s="24"/>
      <c r="S11" s="57"/>
      <c r="T11" s="37"/>
      <c r="U11" s="21"/>
    </row>
    <row r="12" spans="1:22" ht="41.4" customHeight="1" thickBot="1" x14ac:dyDescent="0.45">
      <c r="A12" s="39"/>
      <c r="B12" s="40">
        <f>Control_4 Open_time</f>
        <v>44429.371527777781</v>
      </c>
      <c r="C12" s="40">
        <f>Control_4 Close_time</f>
        <v>44429.525000000001</v>
      </c>
      <c r="D12" s="116" t="str">
        <f>IF(ISBLANK(Locale Control_4),"",Locale Control_4)</f>
        <v>Nicomen Island</v>
      </c>
      <c r="E12" s="107" t="str">
        <f>IF(ISBLANK(Control_4 Establishment_1),"",Control_4 Establishment_1)</f>
        <v xml:space="preserve"> N. Island Trunk Rd at Dyke Rd</v>
      </c>
      <c r="F12" s="107" t="str">
        <f>IF(ISBLANK('Control Entry'!I13),"",'Control Entry'!I13)</f>
        <v>Year on sticker on back of stop sign?</v>
      </c>
      <c r="G12" s="10"/>
      <c r="H12" s="35" t="s">
        <v>46</v>
      </c>
      <c r="J12" s="17" t="s">
        <v>60</v>
      </c>
      <c r="K12" s="17"/>
      <c r="L12" s="37"/>
      <c r="M12" s="23"/>
      <c r="N12" s="23"/>
      <c r="O12" s="24"/>
      <c r="P12" s="24" t="s">
        <v>61</v>
      </c>
      <c r="Q12" s="24"/>
      <c r="R12" s="24"/>
      <c r="S12" s="57"/>
      <c r="T12" s="37"/>
      <c r="U12" s="21"/>
    </row>
    <row r="13" spans="1:22" ht="36" customHeight="1" thickBot="1" x14ac:dyDescent="0.45">
      <c r="A13" s="48">
        <f>IF(ISBLANK(Distance Control_4),"",Control_4 Distance)</f>
        <v>99.1</v>
      </c>
      <c r="B13" s="49">
        <f>Control_4 Open_time</f>
        <v>44429.371527777781</v>
      </c>
      <c r="C13" s="49">
        <f>Control_4 Close_time</f>
        <v>44429.525000000001</v>
      </c>
      <c r="D13" s="117"/>
      <c r="E13" s="107" t="str">
        <f>IF(ISBLANK(Control_4 Establishment_2),"",Control_4 Establishment_2)</f>
        <v/>
      </c>
      <c r="F13" s="107" t="str">
        <f>IF(ISBLANK('Control Entry'!J13),"",'Control Entry'!J13)</f>
        <v/>
      </c>
      <c r="G13" s="10"/>
      <c r="H13" s="35" t="s">
        <v>46</v>
      </c>
      <c r="J13" s="17" t="s">
        <v>62</v>
      </c>
      <c r="L13" s="76"/>
      <c r="M13" s="77"/>
      <c r="N13" s="77"/>
      <c r="O13" s="25"/>
      <c r="P13" s="24" t="s">
        <v>63</v>
      </c>
      <c r="Q13" s="24"/>
      <c r="R13" s="38"/>
      <c r="S13" s="26"/>
      <c r="T13" s="26"/>
      <c r="U13" s="22"/>
    </row>
    <row r="14" spans="1:22" ht="36" customHeight="1" thickBot="1" x14ac:dyDescent="0.4">
      <c r="A14" s="43"/>
      <c r="B14" s="44">
        <f>Control_4 Open_time</f>
        <v>44429.371527777781</v>
      </c>
      <c r="C14" s="44">
        <f>Control_4 Close_time</f>
        <v>44429.525000000001</v>
      </c>
      <c r="D14" s="118"/>
      <c r="E14" s="108" t="str">
        <f>IF(ISBLANK(Control_4 Establishment_3),"",Control_4 Establishment_3)</f>
        <v/>
      </c>
      <c r="F14" s="110" t="str">
        <f>IF(ISBLANK('Control Entry'!K13),"",'Control Entry'!K13)</f>
        <v/>
      </c>
      <c r="G14" s="11"/>
      <c r="H14" s="35" t="s">
        <v>46</v>
      </c>
    </row>
    <row r="15" spans="1:22" ht="36" customHeight="1" x14ac:dyDescent="0.35">
      <c r="A15" s="39"/>
      <c r="B15" s="40">
        <f>Control_5 Open_time</f>
        <v>44429.394444444442</v>
      </c>
      <c r="C15" s="40">
        <f>Control_5 Close_time</f>
        <v>44429.577777777777</v>
      </c>
      <c r="D15" s="116" t="str">
        <f>IF(ISBLANK(Locale Control_5),"",Locale Control_5)</f>
        <v>Harrison Mills</v>
      </c>
      <c r="E15" s="107" t="str">
        <f>IF(ISBLANK(Control_5 Establishment_1),"",Control_5 Establishment_1)</f>
        <v>Kilby Park Entrance</v>
      </c>
      <c r="F15" s="107" t="str">
        <f>IF(ISBLANK('Control Entry'!I14),"",'Control Entry'!I14)</f>
        <v>Speed Limit at Park entrance?</v>
      </c>
      <c r="G15" s="10"/>
      <c r="H15" s="35" t="s">
        <v>46</v>
      </c>
      <c r="J15" s="17"/>
      <c r="L15" s="133" t="s">
        <v>64</v>
      </c>
      <c r="M15" s="133"/>
      <c r="N15" s="133"/>
      <c r="O15" s="133"/>
      <c r="P15" s="133"/>
      <c r="Q15" s="133"/>
      <c r="R15" s="133"/>
      <c r="S15" s="133"/>
      <c r="T15" s="133"/>
      <c r="U15" s="133"/>
    </row>
    <row r="16" spans="1:22" ht="36" customHeight="1" thickBot="1" x14ac:dyDescent="0.35">
      <c r="A16" s="48">
        <f>IF(ISBLANK(Distance Control_5),"",Control_5 Distance)</f>
        <v>118.1</v>
      </c>
      <c r="B16" s="49">
        <f>Control_5 Open_time</f>
        <v>44429.394444444442</v>
      </c>
      <c r="C16" s="49">
        <f>Control_5 Close_time</f>
        <v>44429.577777777777</v>
      </c>
      <c r="D16" s="117"/>
      <c r="E16" s="107" t="str">
        <f>IF(ISBLANK(Control_5 Establishment_2),"",Control_5 Establishment_2)</f>
        <v/>
      </c>
      <c r="F16" s="107" t="str">
        <f>IF(ISBLANK('Control Entry'!J14),"",'Control Entry'!J14)</f>
        <v/>
      </c>
      <c r="G16" s="10"/>
      <c r="H16" s="35" t="s">
        <v>46</v>
      </c>
      <c r="L16" s="71"/>
      <c r="M16" s="71"/>
      <c r="N16" s="71"/>
      <c r="O16" s="71"/>
      <c r="P16" s="71"/>
      <c r="Q16" s="72"/>
      <c r="R16" s="72"/>
      <c r="S16" s="72"/>
      <c r="T16" s="72"/>
      <c r="U16" s="72"/>
    </row>
    <row r="17" spans="1:22" ht="36" customHeight="1" thickBot="1" x14ac:dyDescent="0.4">
      <c r="A17" s="43"/>
      <c r="B17" s="44">
        <f>Control_5 Open_time</f>
        <v>44429.394444444442</v>
      </c>
      <c r="C17" s="44">
        <f>Control_5 Close_time</f>
        <v>44429.577777777777</v>
      </c>
      <c r="D17" s="118"/>
      <c r="E17" s="108" t="str">
        <f>IF(ISBLANK(Control_5 Establishment_3),"",Control_5 Establishment_3)</f>
        <v/>
      </c>
      <c r="F17" s="108" t="str">
        <f>IF(ISBLANK('Control Entry'!K14),"",'Control Entry'!K14)</f>
        <v/>
      </c>
      <c r="G17" s="11"/>
      <c r="H17" s="35" t="s">
        <v>46</v>
      </c>
    </row>
    <row r="18" spans="1:22" ht="40.200000000000003" customHeight="1" x14ac:dyDescent="0.35">
      <c r="A18" s="39"/>
      <c r="B18" s="40">
        <f>Control_6 Open_time</f>
        <v>44429.42291666667</v>
      </c>
      <c r="C18" s="40">
        <f>Control_6 Close_time</f>
        <v>44429.642361111109</v>
      </c>
      <c r="D18" s="116" t="str">
        <f>IF(ISBLANK(Locale Control_6),"",Locale Control_6)</f>
        <v>Harrison Hot Springs</v>
      </c>
      <c r="E18" s="107" t="str">
        <f>IF(ISBLANK(Control_6 Establishment_1),"",Control_6 Establishment_1)</f>
        <v>Ranger Station Art Gallery</v>
      </c>
      <c r="F18" s="107" t="str">
        <f>IF(ISBLANK('Control Entry'!I15),"",'Control Entry'!I15)</f>
        <v>Street Address # near front door?</v>
      </c>
      <c r="G18" s="10"/>
      <c r="H18" s="35" t="s">
        <v>46</v>
      </c>
    </row>
    <row r="19" spans="1:22" ht="36" customHeight="1" x14ac:dyDescent="0.3">
      <c r="A19" s="48">
        <f>IF(ISBLANK(Distance Control_6),"",Control_6 Distance)</f>
        <v>141.19999999999999</v>
      </c>
      <c r="B19" s="49">
        <f>Control_6 Open_time</f>
        <v>44429.42291666667</v>
      </c>
      <c r="C19" s="49">
        <f>Control_6 Close_time</f>
        <v>44429.642361111109</v>
      </c>
      <c r="D19" s="117"/>
      <c r="E19" s="107" t="str">
        <f>IF(ISBLANK(Control_6 Establishment_2),"",Control_6 Establishment_2)</f>
        <v/>
      </c>
      <c r="F19" s="107" t="str">
        <f>IF(ISBLANK('Control Entry'!J15),"",'Control Entry'!J15)</f>
        <v/>
      </c>
      <c r="G19" s="10"/>
      <c r="H19" s="35" t="s">
        <v>46</v>
      </c>
    </row>
    <row r="20" spans="1:22" ht="36" customHeight="1" thickBot="1" x14ac:dyDescent="0.4">
      <c r="A20" s="43"/>
      <c r="B20" s="44">
        <f>Control_6 Open_time</f>
        <v>44429.42291666667</v>
      </c>
      <c r="C20" s="44">
        <f>Control_6 Close_time</f>
        <v>44429.642361111109</v>
      </c>
      <c r="D20" s="118"/>
      <c r="E20" s="108" t="str">
        <f>IF(ISBLANK(Control_6 Establishment_3),"",Control_6 Establishment_3)</f>
        <v/>
      </c>
      <c r="F20" s="108" t="str">
        <f>IF(ISBLANK('Control Entry'!K15),"",'Control Entry'!K15)</f>
        <v/>
      </c>
      <c r="G20" s="11"/>
      <c r="H20" s="35" t="s">
        <v>46</v>
      </c>
      <c r="J20" s="70" t="s">
        <v>65</v>
      </c>
      <c r="K20" s="70"/>
      <c r="L20" s="73"/>
      <c r="M20" s="73"/>
      <c r="N20" s="73"/>
      <c r="P20" s="24" t="s">
        <v>66</v>
      </c>
      <c r="Q20" s="24"/>
      <c r="S20" s="132">
        <f>'Control Entry'!B8</f>
        <v>0.25</v>
      </c>
      <c r="T20" s="132"/>
      <c r="U20" s="132"/>
    </row>
    <row r="21" spans="1:22" ht="41.4" customHeight="1" x14ac:dyDescent="0.35">
      <c r="A21" s="39"/>
      <c r="B21" s="40">
        <f>Control_7 Open_time</f>
        <v>44429.476388888892</v>
      </c>
      <c r="C21" s="40">
        <f>Control_7 Close_time</f>
        <v>44429.762499999997</v>
      </c>
      <c r="D21" s="116" t="str">
        <f>IF(ISBLANK(Locale Control_7),"",Locale Control_7)</f>
        <v>Hope, 6 Ave at Old Hope-Princton Hwy</v>
      </c>
      <c r="E21" s="107" t="str">
        <f>IF(ISBLANK(Control_7 Establishment_1),"",Control_7 Establishment_1)</f>
        <v>Chevron / White Spot</v>
      </c>
      <c r="F21" s="107" t="str">
        <f>IF(ISBLANK('Control Entry'!I16),"",'Control Entry'!I16)</f>
        <v xml:space="preserve">Does the White Spot have a Drive Thru -Y/N? </v>
      </c>
      <c r="G21" s="10"/>
      <c r="H21" s="35" t="s">
        <v>46</v>
      </c>
      <c r="J21" s="70"/>
      <c r="K21" s="70"/>
      <c r="L21" s="69"/>
      <c r="M21" s="69"/>
      <c r="N21" s="69"/>
      <c r="P21" s="24"/>
      <c r="Q21" s="24"/>
      <c r="R21" s="29"/>
      <c r="S21" s="74"/>
      <c r="T21" s="74"/>
      <c r="U21" s="74"/>
      <c r="V21" s="36"/>
    </row>
    <row r="22" spans="1:22" ht="36" customHeight="1" thickBot="1" x14ac:dyDescent="0.4">
      <c r="A22" s="48">
        <f>IF(ISBLANK(Distance Control_7),"",Control_7 Distance)</f>
        <v>184.5</v>
      </c>
      <c r="B22" s="49">
        <f>Control_7 Open_time</f>
        <v>44429.476388888892</v>
      </c>
      <c r="C22" s="49">
        <f>Control_7 Close_time</f>
        <v>44429.762499999997</v>
      </c>
      <c r="D22" s="117"/>
      <c r="E22" s="107" t="str">
        <f>IF(ISBLANK(Control_7 Establishment_2),"",Control_7 Establishment_2)</f>
        <v/>
      </c>
      <c r="F22" s="107" t="str">
        <f>IF(ISBLANK('Control Entry'!J16),"",'Control Entry'!J16)</f>
        <v/>
      </c>
      <c r="G22" s="10"/>
      <c r="H22" s="35" t="s">
        <v>46</v>
      </c>
      <c r="J22" s="106" t="s">
        <v>67</v>
      </c>
      <c r="K22" s="106"/>
      <c r="L22" s="73"/>
      <c r="M22" s="73"/>
      <c r="N22" s="73"/>
      <c r="O22" s="25"/>
      <c r="P22" s="24" t="s">
        <v>68</v>
      </c>
      <c r="Q22" s="24"/>
      <c r="R22" s="25"/>
      <c r="S22" s="75"/>
      <c r="T22" s="75"/>
      <c r="U22" s="75"/>
    </row>
    <row r="23" spans="1:22" ht="36" customHeight="1" thickBot="1" x14ac:dyDescent="0.4">
      <c r="A23" s="43"/>
      <c r="B23" s="44">
        <f>Control_7 Open_time</f>
        <v>44429.476388888892</v>
      </c>
      <c r="C23" s="44">
        <f>Control_7 Close_time</f>
        <v>44429.762499999997</v>
      </c>
      <c r="D23" s="118"/>
      <c r="E23" s="108" t="str">
        <f>IF(ISBLANK(Control_7 Establishment_3),"",Control_7 Establishment_3)</f>
        <v/>
      </c>
      <c r="F23" s="108" t="str">
        <f>IF(ISBLANK('Control Entry'!K16),"",'Control Entry'!K16)</f>
        <v/>
      </c>
      <c r="G23" s="11"/>
      <c r="H23" s="35" t="s">
        <v>46</v>
      </c>
      <c r="J23" s="106"/>
      <c r="K23" s="106"/>
      <c r="L23" s="69"/>
      <c r="M23" s="69"/>
      <c r="N23" s="69"/>
      <c r="O23" s="29"/>
      <c r="P23" s="68"/>
      <c r="Q23" s="68"/>
      <c r="R23" s="29"/>
      <c r="S23" s="29"/>
      <c r="T23" s="29"/>
      <c r="U23" s="29"/>
      <c r="V23" s="36"/>
    </row>
    <row r="24" spans="1:22" ht="46.8" customHeight="1" thickBot="1" x14ac:dyDescent="0.4">
      <c r="A24" s="39"/>
      <c r="B24" s="40">
        <f>Control_8 Open_time</f>
        <v>44429.538888888892</v>
      </c>
      <c r="C24" s="40">
        <f>Control_8 Close_time</f>
        <v>44429.899305555555</v>
      </c>
      <c r="D24" s="116" t="str">
        <f>IF(ISBLANK(Locale Control_8),"",Locale Control_8)</f>
        <v>Chilliwack, near Rosedale</v>
      </c>
      <c r="E24" s="107" t="str">
        <f>IF(ISBLANK(Control_8 Establishment_1),"",Control_8 Establishment_1)</f>
        <v>Jesperson Rd at Kitchen-Hall Rd</v>
      </c>
      <c r="F24" s="107" t="str">
        <f>IF(ISBLANK('Control Entry'!I17),"",'Control Entry'!I17)</f>
        <v>Number on back of Stop Sign - Sherine Signs #___?</v>
      </c>
      <c r="G24" s="10"/>
      <c r="H24" s="35" t="s">
        <v>46</v>
      </c>
      <c r="J24" s="18"/>
      <c r="K24" s="18"/>
      <c r="L24" s="18"/>
      <c r="M24" s="26"/>
      <c r="N24" s="26"/>
      <c r="O24" s="25"/>
      <c r="P24" s="24" t="s">
        <v>69</v>
      </c>
      <c r="Q24" s="24"/>
      <c r="R24" s="25"/>
      <c r="S24" s="26"/>
      <c r="T24" s="26"/>
      <c r="U24" s="26"/>
    </row>
    <row r="25" spans="1:22" ht="41.4" customHeight="1" x14ac:dyDescent="0.3">
      <c r="A25" s="48">
        <f>IF(ISBLANK(Distance Control_8),"",Control_8 Distance)</f>
        <v>233.8</v>
      </c>
      <c r="B25" s="49">
        <f>Control_8 Open_time</f>
        <v>44429.538888888892</v>
      </c>
      <c r="C25" s="49">
        <f>Control_8 Close_time</f>
        <v>44429.899305555555</v>
      </c>
      <c r="D25" s="117"/>
      <c r="E25" s="111" t="str">
        <f>IF(ISBLANK(Control_8 Establishment_2),"",Control_8 Establishment_2)</f>
        <v/>
      </c>
      <c r="F25" s="107" t="str">
        <f>IF(ISBLANK('Control Entry'!J17),"",'Control Entry'!J17)</f>
        <v/>
      </c>
      <c r="G25" s="10"/>
      <c r="H25" s="35" t="s">
        <v>46</v>
      </c>
      <c r="J25" s="130" t="s">
        <v>70</v>
      </c>
      <c r="K25" s="130"/>
      <c r="L25" s="130"/>
      <c r="M25" s="130"/>
      <c r="N25" s="130"/>
      <c r="O25" s="62"/>
      <c r="P25" s="121"/>
      <c r="Q25" s="121"/>
      <c r="R25" s="62"/>
      <c r="S25" s="122"/>
      <c r="T25" s="122"/>
      <c r="U25" s="122"/>
      <c r="V25" s="122"/>
    </row>
    <row r="26" spans="1:22" ht="36" customHeight="1" thickBot="1" x14ac:dyDescent="0.4">
      <c r="A26" s="43"/>
      <c r="B26" s="44">
        <f>Control_8 Open_time</f>
        <v>44429.538888888892</v>
      </c>
      <c r="C26" s="44">
        <f>Control_8 Close_time</f>
        <v>44429.899305555555</v>
      </c>
      <c r="D26" s="118"/>
      <c r="E26" s="108" t="str">
        <f>IF(ISBLANK(Control_8 Establishment_3),"",Control_8 Establishment_3)</f>
        <v/>
      </c>
      <c r="F26" s="108" t="str">
        <f>IF(ISBLANK('Control Entry'!K17),"",'Control Entry'!K17)</f>
        <v/>
      </c>
      <c r="G26" s="11"/>
      <c r="H26" s="35" t="s">
        <v>46</v>
      </c>
    </row>
    <row r="27" spans="1:22" ht="42.6" customHeight="1" x14ac:dyDescent="0.35">
      <c r="A27" s="39"/>
      <c r="B27" s="40">
        <f>Control_9 Open_time</f>
        <v>44429.59097222222</v>
      </c>
      <c r="C27" s="40">
        <f>Control_9 Close_time</f>
        <v>44430.010416666664</v>
      </c>
      <c r="D27" s="47"/>
      <c r="E27" s="116" t="str">
        <f>IF(ISBLANK(Control_9 Establishment_1),"",Control_9 Establishment_1)</f>
        <v>Chilliwack River Salmonid Enhancement Facility</v>
      </c>
      <c r="F27" s="107" t="str">
        <f>IF(ISBLANK('Control Entry'!I18),"",'Control Entry'!I18)</f>
        <v>Street Address # on the fence to right of main car gate?</v>
      </c>
      <c r="G27" s="10"/>
      <c r="H27" s="35" t="s">
        <v>46</v>
      </c>
      <c r="K27" s="128" t="s">
        <v>71</v>
      </c>
      <c r="L27" s="121"/>
      <c r="M27" s="61" t="s">
        <v>72</v>
      </c>
      <c r="N27" s="121" t="s">
        <v>73</v>
      </c>
      <c r="O27" s="121"/>
      <c r="P27" s="121" t="s">
        <v>74</v>
      </c>
      <c r="Q27" s="121"/>
      <c r="R27" s="62" t="s">
        <v>75</v>
      </c>
      <c r="S27" s="122" t="s">
        <v>76</v>
      </c>
      <c r="T27" s="122"/>
      <c r="U27" s="122" t="s">
        <v>77</v>
      </c>
      <c r="V27" s="122"/>
    </row>
    <row r="28" spans="1:22" ht="36" customHeight="1" x14ac:dyDescent="0.3">
      <c r="A28" s="48">
        <f>IF(ISBLANK(Distance Control_9),"",Control_9 Distance)</f>
        <v>273.7</v>
      </c>
      <c r="B28" s="49">
        <f>Control_9 Open_time</f>
        <v>44429.59097222222</v>
      </c>
      <c r="C28" s="49">
        <f>Control_9 Close_time</f>
        <v>44430.010416666664</v>
      </c>
      <c r="D28" s="50" t="str">
        <f>IF(ISBLANK(Locale Control_9),"",Locale Control_9)</f>
        <v>Chilliwack, Slesse Creek</v>
      </c>
      <c r="E28" s="117"/>
      <c r="F28" s="107" t="str">
        <f>IF(ISBLANK('Control Entry'!J18),"",'Control Entry'!J18)</f>
        <v/>
      </c>
      <c r="G28" s="10"/>
      <c r="H28" s="35" t="s">
        <v>46</v>
      </c>
    </row>
    <row r="29" spans="1:22" ht="36" customHeight="1" thickBot="1" x14ac:dyDescent="0.4">
      <c r="A29" s="43"/>
      <c r="B29" s="44">
        <f>Control_9 Open_time</f>
        <v>44429.59097222222</v>
      </c>
      <c r="C29" s="44">
        <f>Control_9 Close_time</f>
        <v>44430.010416666664</v>
      </c>
      <c r="D29" s="45"/>
      <c r="E29" s="118"/>
      <c r="F29" s="108" t="str">
        <f>IF(ISBLANK('Control Entry'!K18),"",'Control Entry'!K18)</f>
        <v/>
      </c>
      <c r="G29" s="11"/>
      <c r="H29" s="35" t="s">
        <v>46</v>
      </c>
      <c r="M29" s="120" t="s">
        <v>78</v>
      </c>
      <c r="N29" s="120"/>
      <c r="O29" s="120"/>
      <c r="P29" s="120"/>
      <c r="Q29" s="120"/>
      <c r="R29" s="120"/>
      <c r="S29" s="120"/>
      <c r="T29" s="120"/>
      <c r="U29" s="66"/>
    </row>
    <row r="30" spans="1:22" ht="45" customHeight="1" x14ac:dyDescent="0.35">
      <c r="A30" s="39"/>
      <c r="B30" s="40" t="str">
        <f>Control_10 Open_time</f>
        <v/>
      </c>
      <c r="C30" s="40" t="str">
        <f>Control_10 Close_time</f>
        <v/>
      </c>
      <c r="D30" s="47"/>
      <c r="E30" s="107" t="str">
        <f>IF(ISBLANK(Control_10 Establishment_1),"",Control_10 Establishment_1)</f>
        <v/>
      </c>
      <c r="F30" s="107" t="str">
        <f>IF(ISBLANK('Control Entry'!I19),"",'Control Entry'!I19)</f>
        <v/>
      </c>
      <c r="G30" s="10"/>
      <c r="H30" s="35" t="s">
        <v>46</v>
      </c>
      <c r="M30" s="19"/>
      <c r="N30" s="27"/>
      <c r="O30" s="27"/>
      <c r="P30" s="28"/>
      <c r="Q30" s="27"/>
      <c r="R30" s="27"/>
      <c r="S30" s="27"/>
      <c r="T30" s="28"/>
      <c r="U30" s="29"/>
    </row>
    <row r="31" spans="1:22" ht="36" customHeight="1" x14ac:dyDescent="0.3">
      <c r="A31" s="48" t="str">
        <f>IF(ISBLANK(Distance Control_10),"",Control_10 Distance)</f>
        <v/>
      </c>
      <c r="B31" s="49" t="str">
        <f>Control_10 Open_time</f>
        <v/>
      </c>
      <c r="C31" s="49" t="str">
        <f>Control_10 Close_time</f>
        <v/>
      </c>
      <c r="D31" s="50" t="str">
        <f>IF(ISBLANK(Locale Control_10),"",Locale Control_10)</f>
        <v/>
      </c>
      <c r="E31" s="107" t="str">
        <f>IF(ISBLANK(Control_10 Establishment_2),"",Control_10 Establishment_2)</f>
        <v/>
      </c>
      <c r="F31" s="107" t="str">
        <f>IF(ISBLANK('Control Entry'!J19),"",'Control Entry'!J19)</f>
        <v/>
      </c>
      <c r="G31" s="10"/>
      <c r="H31" s="35" t="s">
        <v>46</v>
      </c>
      <c r="M31" s="20"/>
      <c r="N31" s="29"/>
      <c r="O31" s="29"/>
      <c r="P31" s="30"/>
      <c r="Q31" s="29"/>
      <c r="R31" s="29"/>
      <c r="S31" s="29"/>
      <c r="T31" s="30"/>
      <c r="U31" s="29"/>
    </row>
    <row r="32" spans="1:22" ht="36" customHeight="1" thickBot="1" x14ac:dyDescent="0.4">
      <c r="A32" s="43"/>
      <c r="B32" s="44" t="str">
        <f>Control_10 Open_time</f>
        <v/>
      </c>
      <c r="C32" s="44" t="str">
        <f>Control_10 Close_time</f>
        <v/>
      </c>
      <c r="D32" s="45"/>
      <c r="E32" s="108" t="str">
        <f>IF(ISBLANK(Control_10 Establishment_3),"",Control_10 Establishment_3)</f>
        <v/>
      </c>
      <c r="F32" s="108" t="str">
        <f>IF(ISBLANK('Control Entry'!K19),"",'Control Entry'!K19)</f>
        <v/>
      </c>
      <c r="G32" s="11"/>
      <c r="H32" s="35" t="s">
        <v>46</v>
      </c>
      <c r="M32" s="65"/>
      <c r="N32" s="26"/>
      <c r="O32" s="26"/>
      <c r="P32" s="31"/>
      <c r="Q32" s="26"/>
      <c r="R32" s="26"/>
      <c r="S32" s="26"/>
      <c r="T32" s="31"/>
      <c r="U32" s="29"/>
    </row>
    <row r="33" spans="1:22" ht="36" customHeight="1" x14ac:dyDescent="0.35">
      <c r="A33" s="127" t="s">
        <v>79</v>
      </c>
      <c r="B33" s="127"/>
      <c r="C33" s="127"/>
      <c r="D33" s="127"/>
      <c r="E33" s="127"/>
      <c r="F33" s="127"/>
      <c r="G33" s="127"/>
      <c r="H33" s="51"/>
      <c r="I33" s="51"/>
      <c r="N33" s="123"/>
      <c r="O33" s="123"/>
      <c r="P33" s="123"/>
      <c r="Q33" s="123"/>
      <c r="R33" s="123"/>
      <c r="S33" s="123"/>
      <c r="T33" s="123"/>
      <c r="U33" s="123"/>
      <c r="V33" s="69"/>
    </row>
    <row r="34" spans="1:22" ht="36" customHeight="1" x14ac:dyDescent="0.35">
      <c r="A34"/>
      <c r="O34" s="59"/>
      <c r="P34" s="59"/>
      <c r="Q34" s="59"/>
      <c r="R34" s="58"/>
    </row>
    <row r="35" spans="1:22" ht="36" customHeight="1" x14ac:dyDescent="0.25">
      <c r="A35"/>
      <c r="N35" s="120"/>
      <c r="O35" s="120"/>
      <c r="P35" s="120"/>
      <c r="Q35" s="120"/>
      <c r="R35" s="120"/>
      <c r="S35" s="120"/>
      <c r="T35" s="120"/>
      <c r="U35" s="120"/>
    </row>
    <row r="36" spans="1:22" ht="36" customHeight="1" x14ac:dyDescent="0.25">
      <c r="A36"/>
      <c r="N36" s="36"/>
      <c r="O36" s="29"/>
      <c r="P36" s="29"/>
      <c r="Q36" s="29"/>
      <c r="R36" s="29"/>
      <c r="S36" s="29"/>
      <c r="T36" s="29"/>
      <c r="U36" s="29"/>
    </row>
    <row r="37" spans="1:22" ht="36" customHeight="1" x14ac:dyDescent="0.25">
      <c r="A37"/>
      <c r="N37" s="36"/>
      <c r="O37" s="29"/>
      <c r="P37" s="29"/>
      <c r="Q37" s="29"/>
      <c r="R37" s="29"/>
      <c r="S37" s="29"/>
      <c r="T37" s="29"/>
      <c r="U37" s="29"/>
    </row>
    <row r="38" spans="1:22" ht="36" customHeight="1" x14ac:dyDescent="0.35">
      <c r="A38"/>
      <c r="N38" s="67"/>
      <c r="O38" s="29"/>
      <c r="P38" s="29"/>
      <c r="Q38" s="29"/>
      <c r="R38" s="29"/>
      <c r="S38" s="29"/>
      <c r="T38" s="29"/>
      <c r="U38" s="29"/>
    </row>
    <row r="39" spans="1:22" ht="36" customHeight="1" x14ac:dyDescent="0.25">
      <c r="A39"/>
    </row>
    <row r="40" spans="1:22" ht="36" customHeight="1" x14ac:dyDescent="0.25">
      <c r="A40"/>
    </row>
  </sheetData>
  <mergeCells count="33">
    <mergeCell ref="D3:D5"/>
    <mergeCell ref="D6:D8"/>
    <mergeCell ref="D9:D11"/>
    <mergeCell ref="D12:D14"/>
    <mergeCell ref="D15:D17"/>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 ref="D21:D23"/>
    <mergeCell ref="D24:D26"/>
    <mergeCell ref="E27:E29"/>
    <mergeCell ref="T8:U8"/>
    <mergeCell ref="N35:U35"/>
    <mergeCell ref="M29:T29"/>
    <mergeCell ref="N27:O27"/>
    <mergeCell ref="P27:Q27"/>
    <mergeCell ref="S27:T27"/>
    <mergeCell ref="U27:V27"/>
    <mergeCell ref="N33:U33"/>
    <mergeCell ref="D18:D20"/>
  </mergeCells>
  <phoneticPr fontId="16" type="noConversion"/>
  <pageMargins left="0.2" right="0.2" top="0.2" bottom="0.2" header="0.51" footer="0.51"/>
  <pageSetup scale="43" orientation="landscape" horizontalDpi="4294967292" verticalDpi="4294967292" r:id="rId1"/>
  <drawing r:id="rId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0"/>
  <sheetViews>
    <sheetView showGridLines="0" zoomScale="55" zoomScaleNormal="55" zoomScalePageLayoutView="92" workbookViewId="0">
      <selection activeCell="N7" sqref="N7"/>
    </sheetView>
  </sheetViews>
  <sheetFormatPr defaultColWidth="8.77734375" defaultRowHeight="13.2" x14ac:dyDescent="0.25"/>
  <cols>
    <col min="1" max="1" width="10.77734375" style="1" customWidth="1"/>
    <col min="2" max="2" width="12.21875" customWidth="1"/>
    <col min="3" max="3" width="11.6640625" customWidth="1"/>
    <col min="4" max="4" width="18" customWidth="1"/>
    <col min="5" max="5" width="23.77734375" customWidth="1"/>
    <col min="6" max="6" width="50.77734375" customWidth="1"/>
    <col min="7" max="7" width="25.77734375" customWidth="1"/>
    <col min="8" max="8" width="8" style="36" customWidth="1"/>
    <col min="9" max="9" width="12" customWidth="1"/>
    <col min="18" max="19" width="8.77734375" customWidth="1"/>
  </cols>
  <sheetData>
    <row r="1" spans="1:23" ht="45" customHeight="1" thickBot="1" x14ac:dyDescent="0.3">
      <c r="A1" s="126" t="s">
        <v>45</v>
      </c>
      <c r="B1" s="126"/>
      <c r="C1" s="126"/>
      <c r="D1" s="126"/>
      <c r="E1" s="126"/>
      <c r="F1" s="126"/>
      <c r="G1" s="126"/>
      <c r="H1" s="35" t="s">
        <v>46</v>
      </c>
    </row>
    <row r="2" spans="1:23" ht="41.4" customHeight="1" thickBot="1" x14ac:dyDescent="0.35">
      <c r="A2" s="92" t="s">
        <v>47</v>
      </c>
      <c r="B2" s="9" t="s">
        <v>25</v>
      </c>
      <c r="C2" s="9" t="s">
        <v>26</v>
      </c>
      <c r="D2" s="9" t="s">
        <v>18</v>
      </c>
      <c r="E2" s="9" t="s">
        <v>48</v>
      </c>
      <c r="F2" s="9" t="s">
        <v>49</v>
      </c>
      <c r="G2" s="92" t="s">
        <v>50</v>
      </c>
      <c r="H2" s="35" t="s">
        <v>46</v>
      </c>
      <c r="K2" s="142" t="s">
        <v>51</v>
      </c>
      <c r="L2" s="142"/>
      <c r="M2" s="142"/>
      <c r="N2" s="142"/>
      <c r="O2" s="142"/>
      <c r="P2" s="142"/>
      <c r="Q2" s="142"/>
      <c r="R2" s="142"/>
      <c r="S2" s="142"/>
      <c r="T2" s="142"/>
      <c r="U2" s="142"/>
    </row>
    <row r="3" spans="1:23" ht="43.8" customHeight="1" x14ac:dyDescent="0.7">
      <c r="A3" s="39"/>
      <c r="B3" s="40">
        <f>'Control Entry'!N23</f>
        <v>44429.656944444447</v>
      </c>
      <c r="C3" s="40">
        <f>'Control Entry'!O23</f>
        <v>44430.151388888888</v>
      </c>
      <c r="D3" s="41"/>
      <c r="E3" s="107" t="str">
        <f>IF(ISBLANK('Control Entry'!F23),"",'Control Entry'!F23)</f>
        <v>2 Ave at B St</v>
      </c>
      <c r="F3" s="140" t="str">
        <f>IF(ISBLANK('Control Entry'!I23),"",'Control Entry'!I23)</f>
        <v>Decal on back of 4-Way sign (below Stop Sign) - Ride the Trail for E________?</v>
      </c>
      <c r="G3" s="10"/>
      <c r="H3" s="35" t="s">
        <v>46</v>
      </c>
      <c r="K3" s="16"/>
      <c r="N3" s="131" t="s">
        <v>43</v>
      </c>
      <c r="O3" s="131"/>
      <c r="P3" s="131"/>
      <c r="Q3" s="131"/>
      <c r="R3" s="131"/>
      <c r="S3" s="131"/>
      <c r="T3" s="52"/>
      <c r="U3" s="52"/>
    </row>
    <row r="4" spans="1:23" ht="36" customHeight="1" x14ac:dyDescent="0.3">
      <c r="A4" s="48">
        <f>IF(ISBLANK('Control Entry'!D23),"",'Control Entry'!D23)</f>
        <v>324.5</v>
      </c>
      <c r="B4" s="49">
        <f>'Control Entry'!N23</f>
        <v>44429.656944444447</v>
      </c>
      <c r="C4" s="49">
        <f>'Control Entry'!O23</f>
        <v>44430.151388888888</v>
      </c>
      <c r="D4" s="50" t="str">
        <f>IF(ISBLANK('Control Entry'!E23),"",'Control Entry'!E23)</f>
        <v>Huntingdon</v>
      </c>
      <c r="E4" s="107" t="str">
        <f>IF(ISBLANK('Control Entry'!G23),"",'Control Entry'!G23)</f>
        <v>NE Corner</v>
      </c>
      <c r="F4" s="141"/>
      <c r="G4" s="10"/>
      <c r="H4" s="35" t="s">
        <v>46</v>
      </c>
      <c r="K4" s="16"/>
      <c r="M4" s="128" t="str">
        <f>IF(ISBLANK(brevet),"",brevet&amp;" km Randonnée")</f>
        <v>400 km Randonnée</v>
      </c>
      <c r="N4" s="128"/>
      <c r="O4" s="128"/>
      <c r="P4" s="128"/>
      <c r="Q4" s="128"/>
      <c r="R4" s="128"/>
      <c r="S4" s="128"/>
      <c r="T4" s="128"/>
      <c r="U4" s="53"/>
    </row>
    <row r="5" spans="1:23" ht="36" customHeight="1" thickBot="1" x14ac:dyDescent="0.4">
      <c r="A5" s="43"/>
      <c r="B5" s="44">
        <f>'Control Entry'!N23</f>
        <v>44429.656944444447</v>
      </c>
      <c r="C5" s="44">
        <f>'Control Entry'!O23</f>
        <v>44430.151388888888</v>
      </c>
      <c r="D5" s="45"/>
      <c r="E5" s="108" t="str">
        <f>IF(ISBLANK('Control Entry'!H23),"",'Control Entry'!H23)</f>
        <v/>
      </c>
      <c r="F5" s="108" t="str">
        <f>IF(ISBLANK('Control Entry'!K23),"",'Control Entry'!K23)</f>
        <v/>
      </c>
      <c r="G5" s="11"/>
      <c r="H5" s="35" t="s">
        <v>46</v>
      </c>
      <c r="K5" s="16"/>
      <c r="M5" s="17"/>
      <c r="N5" s="129" t="s">
        <v>53</v>
      </c>
      <c r="O5" s="129"/>
      <c r="P5" s="78">
        <f>IF(ISBLANK(Brevet_Number),"",Brevet_Number)</f>
        <v>5086</v>
      </c>
      <c r="Q5" s="79"/>
      <c r="R5" s="124">
        <f>IF(ISBLANK('Control Entry'!$B5),"",'Control Entry'!$B5)</f>
        <v>44429</v>
      </c>
      <c r="S5" s="124"/>
      <c r="T5" s="124"/>
      <c r="U5" s="124"/>
      <c r="V5" s="54"/>
      <c r="W5" s="54"/>
    </row>
    <row r="6" spans="1:23" ht="45" customHeight="1" x14ac:dyDescent="0.4">
      <c r="A6" s="39"/>
      <c r="B6" s="40">
        <f>'Control Entry'!N24</f>
        <v>44429.756944444445</v>
      </c>
      <c r="C6" s="40">
        <f>'Control Entry'!O24</f>
        <v>44430.375</v>
      </c>
      <c r="D6" s="47"/>
      <c r="E6" s="107" t="str">
        <f>IF(ISBLANK('Control Entry'!F24),"",'Control Entry'!F24)</f>
        <v>Garrett Rd Dog Park</v>
      </c>
      <c r="F6" s="109" t="str">
        <f>IF(ISBLANK('Control Entry'!I24),"",'Control Entry'!I24)</f>
        <v>Behind Dog Area sign - box on the ground - D__ S____ L______?</v>
      </c>
      <c r="G6" s="10"/>
      <c r="H6" s="35" t="s">
        <v>46</v>
      </c>
      <c r="K6" s="16"/>
      <c r="L6" s="134" t="str">
        <f>IF(ISBLANK(Brevet_Description),"",Brevet_Description)</f>
        <v>Fraser Valley Meander</v>
      </c>
      <c r="M6" s="134"/>
      <c r="N6" s="134"/>
      <c r="O6" s="134"/>
      <c r="P6" s="134"/>
      <c r="Q6" s="134"/>
      <c r="R6" s="134"/>
      <c r="S6" s="134"/>
      <c r="T6" s="134"/>
      <c r="U6" s="134"/>
    </row>
    <row r="7" spans="1:23" ht="36" customHeight="1" x14ac:dyDescent="0.3">
      <c r="A7" s="48">
        <f>IF(ISBLANK('Control Entry'!D24),"",'Control Entry'!D24)</f>
        <v>401.1</v>
      </c>
      <c r="B7" s="49">
        <f>'Control Entry'!N24</f>
        <v>44429.756944444445</v>
      </c>
      <c r="C7" s="49">
        <f>'Control Entry'!O24</f>
        <v>44430.375</v>
      </c>
      <c r="D7" s="50" t="str">
        <f>IF(ISBLANK('Control Entry'!E24),"",'Control Entry'!E24)</f>
        <v>New Westminster</v>
      </c>
      <c r="E7" s="107" t="str">
        <f>IF(ISBLANK('Control Entry'!G24),"",'Control Entry'!G24)</f>
        <v/>
      </c>
      <c r="F7" s="109" t="str">
        <f>IF(ISBLANK('Control Entry'!J24),"",'Control Entry'!J24)</f>
        <v/>
      </c>
      <c r="G7" s="10"/>
      <c r="H7" s="35" t="s">
        <v>46</v>
      </c>
    </row>
    <row r="8" spans="1:23" ht="36" customHeight="1" thickBot="1" x14ac:dyDescent="0.4">
      <c r="A8" s="43"/>
      <c r="B8" s="44">
        <f>'Control Entry'!N24</f>
        <v>44429.756944444445</v>
      </c>
      <c r="C8" s="44">
        <f>'Control Entry'!O24</f>
        <v>44430.375</v>
      </c>
      <c r="D8" s="45"/>
      <c r="E8" s="108" t="str">
        <f>IF(ISBLANK('Control Entry'!H24),"",'Control Entry'!H24)</f>
        <v/>
      </c>
      <c r="F8" s="108" t="str">
        <f>IF(ISBLANK('Control Entry'!K24),"",'Control Entry'!K24)</f>
        <v/>
      </c>
      <c r="G8" s="11"/>
      <c r="H8" s="35" t="s">
        <v>46</v>
      </c>
      <c r="J8" s="17" t="s">
        <v>54</v>
      </c>
      <c r="L8" s="125" t="str">
        <f>IF(ISBLANK('Control Card #1'!L8:Q8),"",'Control Card #1'!L8:Q8)</f>
        <v/>
      </c>
      <c r="M8" s="125"/>
      <c r="N8" s="125"/>
      <c r="O8" s="125"/>
      <c r="P8" s="125"/>
      <c r="Q8" s="125"/>
      <c r="R8" s="36"/>
      <c r="S8" s="55" t="s">
        <v>55</v>
      </c>
      <c r="T8" s="137" t="str">
        <f>IF(ISBLANK('Control Card #1'!T8:U8),"",'Control Card #1'!T8:U8)</f>
        <v/>
      </c>
      <c r="U8" s="137"/>
    </row>
    <row r="9" spans="1:23" ht="36" customHeight="1" x14ac:dyDescent="0.35">
      <c r="A9" s="39"/>
      <c r="B9" s="40" t="str">
        <f>'Control Entry'!N25</f>
        <v/>
      </c>
      <c r="C9" s="40" t="str">
        <f>'Control Entry'!O25</f>
        <v/>
      </c>
      <c r="D9" s="47"/>
      <c r="E9" s="42" t="str">
        <f>IF(ISBLANK('Control Entry'!F25),"",'Control Entry'!F25)</f>
        <v/>
      </c>
      <c r="F9" s="42" t="str">
        <f>IF(ISBLANK('Control Entry'!I25),"",'Control Entry'!I25)</f>
        <v/>
      </c>
      <c r="G9" s="10"/>
      <c r="H9" s="35" t="s">
        <v>46</v>
      </c>
    </row>
    <row r="10" spans="1:23" ht="36" customHeight="1" x14ac:dyDescent="0.3">
      <c r="A10" s="48" t="str">
        <f>IF(ISBLANK('Control Entry'!D25),"",'Control Entry'!D25)</f>
        <v/>
      </c>
      <c r="B10" s="49" t="str">
        <f>'Control Entry'!N25</f>
        <v/>
      </c>
      <c r="C10" s="49" t="str">
        <f>'Control Entry'!O25</f>
        <v/>
      </c>
      <c r="D10" s="50" t="str">
        <f>IF(ISBLANK('Control Entry'!E25),"",'Control Entry'!E25)</f>
        <v/>
      </c>
      <c r="E10" s="42" t="str">
        <f>IF(ISBLANK('Control Entry'!G25),"",'Control Entry'!G25)</f>
        <v/>
      </c>
      <c r="F10" s="42" t="str">
        <f>IF(ISBLANK('Control Entry'!J25),"",'Control Entry'!J25)</f>
        <v/>
      </c>
      <c r="G10" s="10"/>
      <c r="H10" s="35" t="s">
        <v>46</v>
      </c>
    </row>
    <row r="11" spans="1:23" ht="36" customHeight="1" thickBot="1" x14ac:dyDescent="0.4">
      <c r="A11" s="43"/>
      <c r="B11" s="44" t="str">
        <f>'Control Entry'!N25</f>
        <v/>
      </c>
      <c r="C11" s="44" t="str">
        <f>'Control Entry'!O25</f>
        <v/>
      </c>
      <c r="D11" s="45"/>
      <c r="E11" s="46" t="str">
        <f>IF(ISBLANK('Control Entry'!H25),"",'Control Entry'!H25)</f>
        <v/>
      </c>
      <c r="F11" s="46" t="str">
        <f>IF(ISBLANK('Control Entry'!K25),"",'Control Entry'!K25)</f>
        <v/>
      </c>
      <c r="G11" s="11"/>
      <c r="H11" s="35" t="s">
        <v>46</v>
      </c>
    </row>
    <row r="12" spans="1:23" ht="36" customHeight="1" x14ac:dyDescent="0.35">
      <c r="A12" s="39"/>
      <c r="B12" s="40" t="str">
        <f>'Control Entry'!N26</f>
        <v/>
      </c>
      <c r="C12" s="40" t="str">
        <f>'Control Entry'!O26</f>
        <v/>
      </c>
      <c r="D12" s="47"/>
      <c r="E12" s="42" t="str">
        <f>IF(ISBLANK('Control Entry'!F26),"",'Control Entry'!F26)</f>
        <v/>
      </c>
      <c r="F12" s="42" t="str">
        <f>IF(ISBLANK('Control Entry'!I26),"",'Control Entry'!I26)</f>
        <v/>
      </c>
      <c r="G12" s="10"/>
      <c r="H12" s="35" t="s">
        <v>46</v>
      </c>
    </row>
    <row r="13" spans="1:23" ht="36" customHeight="1" x14ac:dyDescent="0.3">
      <c r="A13" s="48" t="str">
        <f>IF(ISBLANK('Control Entry'!D26),"",'Control Entry'!D26)</f>
        <v/>
      </c>
      <c r="B13" s="49" t="str">
        <f>'Control Entry'!N26</f>
        <v/>
      </c>
      <c r="C13" s="49" t="str">
        <f>'Control Entry'!O26</f>
        <v/>
      </c>
      <c r="D13" s="50" t="str">
        <f>IF(ISBLANK('Control Entry'!E26),"",'Control Entry'!E26)</f>
        <v/>
      </c>
      <c r="E13" s="42" t="str">
        <f>IF(ISBLANK('Control Entry'!G26),"",'Control Entry'!G26)</f>
        <v/>
      </c>
      <c r="F13" s="42" t="str">
        <f>IF(ISBLANK('Control Entry'!J26),"",'Control Entry'!J26)</f>
        <v/>
      </c>
      <c r="G13" s="10"/>
      <c r="H13" s="35" t="s">
        <v>46</v>
      </c>
    </row>
    <row r="14" spans="1:23" ht="36" customHeight="1" thickBot="1" x14ac:dyDescent="0.4">
      <c r="A14" s="43"/>
      <c r="B14" s="44" t="str">
        <f>'Control Entry'!N26</f>
        <v/>
      </c>
      <c r="C14" s="44" t="str">
        <f>'Control Entry'!O26</f>
        <v/>
      </c>
      <c r="D14" s="45"/>
      <c r="E14" s="46" t="str">
        <f>IF(ISBLANK('Control Entry'!H26),"",'Control Entry'!H26)</f>
        <v/>
      </c>
      <c r="F14" s="46" t="str">
        <f>IF(ISBLANK('Control Entry'!K26),"",'Control Entry'!K26)</f>
        <v/>
      </c>
      <c r="G14" s="11"/>
      <c r="H14" s="35" t="s">
        <v>46</v>
      </c>
    </row>
    <row r="15" spans="1:23" ht="36" customHeight="1" x14ac:dyDescent="0.35">
      <c r="A15" s="39"/>
      <c r="B15" s="40" t="str">
        <f>'Control Entry'!N27</f>
        <v/>
      </c>
      <c r="C15" s="40" t="str">
        <f>'Control Entry'!O27</f>
        <v/>
      </c>
      <c r="D15" s="47"/>
      <c r="E15" s="42" t="str">
        <f>IF(ISBLANK('Control Entry'!F27),"",'Control Entry'!F27)</f>
        <v/>
      </c>
      <c r="F15" s="42" t="str">
        <f>IF(ISBLANK('Control Entry'!I27),"",'Control Entry'!I27)</f>
        <v/>
      </c>
      <c r="G15" s="10"/>
      <c r="H15" s="35" t="s">
        <v>46</v>
      </c>
    </row>
    <row r="16" spans="1:23" ht="36" customHeight="1" x14ac:dyDescent="0.3">
      <c r="A16" s="48" t="str">
        <f>IF(ISBLANK('Control Entry'!D27),"",'Control Entry'!D27)</f>
        <v/>
      </c>
      <c r="B16" s="49" t="str">
        <f>'Control Entry'!N27</f>
        <v/>
      </c>
      <c r="C16" s="49" t="str">
        <f>'Control Entry'!O27</f>
        <v/>
      </c>
      <c r="D16" s="50" t="str">
        <f>IF(ISBLANK('Control Entry'!E27),"",'Control Entry'!E27)</f>
        <v/>
      </c>
      <c r="E16" s="42" t="str">
        <f>IF(ISBLANK('Control Entry'!G27),"",'Control Entry'!G27)</f>
        <v/>
      </c>
      <c r="F16" s="42" t="str">
        <f>IF(ISBLANK('Control Entry'!J27),"",'Control Entry'!J27)</f>
        <v/>
      </c>
      <c r="G16" s="10"/>
      <c r="H16" s="35" t="s">
        <v>46</v>
      </c>
    </row>
    <row r="17" spans="1:21" ht="36" customHeight="1" thickBot="1" x14ac:dyDescent="0.4">
      <c r="A17" s="43"/>
      <c r="B17" s="44" t="str">
        <f>'Control Entry'!N27</f>
        <v/>
      </c>
      <c r="C17" s="44" t="str">
        <f>'Control Entry'!O27</f>
        <v/>
      </c>
      <c r="D17" s="45"/>
      <c r="E17" s="46" t="str">
        <f>IF(ISBLANK('Control Entry'!H27),"",'Control Entry'!H27)</f>
        <v/>
      </c>
      <c r="F17" s="46" t="str">
        <f>IF(ISBLANK('Control Entry'!K27),"",'Control Entry'!K27)</f>
        <v/>
      </c>
      <c r="G17" s="11"/>
      <c r="H17" s="35" t="s">
        <v>46</v>
      </c>
    </row>
    <row r="18" spans="1:21" ht="36" customHeight="1" thickBot="1" x14ac:dyDescent="0.4">
      <c r="A18" s="39"/>
      <c r="B18" s="40" t="str">
        <f>'Control Entry'!N28</f>
        <v/>
      </c>
      <c r="C18" s="40" t="str">
        <f>'Control Entry'!O28</f>
        <v/>
      </c>
      <c r="D18" s="47"/>
      <c r="E18" s="42" t="str">
        <f>IF(ISBLANK('Control Entry'!F28),"",'Control Entry'!F28)</f>
        <v/>
      </c>
      <c r="F18" s="42" t="str">
        <f>IF(ISBLANK('Control Entry'!I28),"",'Control Entry'!I28)</f>
        <v/>
      </c>
      <c r="G18" s="10"/>
      <c r="H18" s="35" t="s">
        <v>46</v>
      </c>
      <c r="N18" s="136"/>
      <c r="O18" s="136"/>
      <c r="P18" s="136"/>
      <c r="Q18" s="136"/>
      <c r="R18" s="136"/>
      <c r="S18" s="136"/>
    </row>
    <row r="19" spans="1:21" ht="36" customHeight="1" x14ac:dyDescent="0.3">
      <c r="A19" s="48" t="str">
        <f>IF(ISBLANK('Control Entry'!D28),"",'Control Entry'!D28)</f>
        <v/>
      </c>
      <c r="B19" s="49" t="str">
        <f>'Control Entry'!N28</f>
        <v/>
      </c>
      <c r="C19" s="49" t="str">
        <f>'Control Entry'!O28</f>
        <v/>
      </c>
      <c r="D19" s="50" t="str">
        <f>IF(ISBLANK('Control Entry'!E28),"",'Control Entry'!E28)</f>
        <v/>
      </c>
      <c r="E19" s="42" t="str">
        <f>IF(ISBLANK('Control Entry'!G28),"",'Control Entry'!G28)</f>
        <v/>
      </c>
      <c r="F19" s="42" t="str">
        <f>IF(ISBLANK('Control Entry'!J28),"",'Control Entry'!J28)</f>
        <v/>
      </c>
      <c r="G19" s="10"/>
      <c r="H19" s="35" t="s">
        <v>46</v>
      </c>
      <c r="N19" s="130" t="s">
        <v>70</v>
      </c>
      <c r="O19" s="130"/>
      <c r="P19" s="130"/>
      <c r="Q19" s="130"/>
      <c r="R19" s="130"/>
      <c r="S19" s="130"/>
    </row>
    <row r="20" spans="1:21" ht="36" customHeight="1" thickBot="1" x14ac:dyDescent="0.4">
      <c r="A20" s="43"/>
      <c r="B20" s="44" t="str">
        <f>'Control Entry'!N28</f>
        <v/>
      </c>
      <c r="C20" s="44" t="str">
        <f>'Control Entry'!O28</f>
        <v/>
      </c>
      <c r="D20" s="45"/>
      <c r="E20" s="46" t="str">
        <f>IF(ISBLANK('Control Entry'!H28),"",'Control Entry'!H28)</f>
        <v/>
      </c>
      <c r="F20" s="46" t="str">
        <f>IF(ISBLANK('Control Entry'!K28),"",'Control Entry'!K28)</f>
        <v/>
      </c>
      <c r="G20" s="11"/>
      <c r="H20" s="35" t="s">
        <v>46</v>
      </c>
    </row>
    <row r="21" spans="1:21" ht="36" customHeight="1" x14ac:dyDescent="0.35">
      <c r="A21" s="39"/>
      <c r="B21" s="40" t="str">
        <f>'Control Entry'!N29</f>
        <v/>
      </c>
      <c r="C21" s="40" t="str">
        <f>'Control Entry'!O29</f>
        <v/>
      </c>
      <c r="D21" s="47"/>
      <c r="E21" s="42" t="str">
        <f>IF(ISBLANK('Control Entry'!F29),"",'Control Entry'!F29)</f>
        <v/>
      </c>
      <c r="F21" s="42" t="str">
        <f>IF(ISBLANK('Control Entry'!I29),"",'Control Entry'!I29)</f>
        <v/>
      </c>
      <c r="G21" s="10"/>
      <c r="H21" s="35" t="s">
        <v>46</v>
      </c>
      <c r="L21" s="135" t="s">
        <v>80</v>
      </c>
      <c r="M21" s="135"/>
      <c r="N21" s="135"/>
      <c r="O21" s="135"/>
      <c r="P21" s="135"/>
      <c r="Q21" s="135"/>
      <c r="R21" s="135"/>
      <c r="S21" s="135"/>
      <c r="T21" s="135"/>
      <c r="U21" s="135"/>
    </row>
    <row r="22" spans="1:21" ht="36" customHeight="1" x14ac:dyDescent="0.3">
      <c r="A22" s="48" t="str">
        <f>IF(ISBLANK('Control Entry'!D29),"",'Control Entry'!D29)</f>
        <v/>
      </c>
      <c r="B22" s="49" t="str">
        <f>'Control Entry'!N29</f>
        <v/>
      </c>
      <c r="C22" s="49" t="str">
        <f>'Control Entry'!O29</f>
        <v/>
      </c>
      <c r="D22" s="50" t="str">
        <f>IF(ISBLANK('Control Entry'!E29),"",'Control Entry'!E29)</f>
        <v/>
      </c>
      <c r="E22" s="42" t="str">
        <f>IF(ISBLANK('Control Entry'!G29),"",'Control Entry'!G29)</f>
        <v/>
      </c>
      <c r="F22" s="42" t="str">
        <f>IF(ISBLANK('Control Entry'!J29),"",'Control Entry'!J29)</f>
        <v/>
      </c>
      <c r="G22" s="10"/>
      <c r="H22" s="35" t="s">
        <v>46</v>
      </c>
    </row>
    <row r="23" spans="1:21" ht="36" customHeight="1" thickBot="1" x14ac:dyDescent="0.4">
      <c r="A23" s="43"/>
      <c r="B23" s="44" t="str">
        <f>'Control Entry'!N29</f>
        <v/>
      </c>
      <c r="C23" s="44" t="str">
        <f>'Control Entry'!O29</f>
        <v/>
      </c>
      <c r="D23" s="45"/>
      <c r="E23" s="46" t="str">
        <f>IF(ISBLANK('Control Entry'!H29),"",'Control Entry'!H29)</f>
        <v/>
      </c>
      <c r="F23" s="46" t="str">
        <f>IF(ISBLANK('Control Entry'!K29),"",'Control Entry'!K29)</f>
        <v/>
      </c>
      <c r="G23" s="11"/>
      <c r="H23" s="35" t="s">
        <v>46</v>
      </c>
    </row>
    <row r="24" spans="1:21" ht="36" customHeight="1" x14ac:dyDescent="0.35">
      <c r="A24" s="39"/>
      <c r="B24" s="40" t="str">
        <f>'Control Entry'!N30</f>
        <v/>
      </c>
      <c r="C24" s="40" t="str">
        <f>'Control Entry'!O30</f>
        <v/>
      </c>
      <c r="D24" s="47"/>
      <c r="E24" s="42" t="str">
        <f>IF(ISBLANK('Control Entry'!F30),"",'Control Entry'!F30)</f>
        <v/>
      </c>
      <c r="F24" s="42" t="str">
        <f>IF(ISBLANK('Control Entry'!I30),"",'Control Entry'!I30)</f>
        <v/>
      </c>
      <c r="G24" s="10"/>
      <c r="H24" s="35" t="s">
        <v>46</v>
      </c>
    </row>
    <row r="25" spans="1:21" ht="36" customHeight="1" x14ac:dyDescent="0.3">
      <c r="A25" s="48" t="str">
        <f>IF(ISBLANK('Control Entry'!D30),"",'Control Entry'!D30)</f>
        <v/>
      </c>
      <c r="B25" s="49" t="str">
        <f>'Control Entry'!N30</f>
        <v/>
      </c>
      <c r="C25" s="49" t="str">
        <f>'Control Entry'!O30</f>
        <v/>
      </c>
      <c r="D25" s="50" t="str">
        <f>IF(ISBLANK('Control Entry'!E30),"",'Control Entry'!E30)</f>
        <v/>
      </c>
      <c r="E25" s="42" t="str">
        <f>IF(ISBLANK('Control Entry'!G30),"",'Control Entry'!G30)</f>
        <v/>
      </c>
      <c r="F25" s="42" t="str">
        <f>IF(ISBLANK('Control Entry'!J30),"",'Control Entry'!J30)</f>
        <v/>
      </c>
      <c r="G25" s="10"/>
      <c r="H25" s="35" t="s">
        <v>46</v>
      </c>
    </row>
    <row r="26" spans="1:21" ht="36" customHeight="1" thickBot="1" x14ac:dyDescent="0.4">
      <c r="A26" s="43"/>
      <c r="B26" s="44" t="str">
        <f>'Control Entry'!N30</f>
        <v/>
      </c>
      <c r="C26" s="44" t="str">
        <f>'Control Entry'!O30</f>
        <v/>
      </c>
      <c r="D26" s="45"/>
      <c r="E26" s="46" t="str">
        <f>IF(ISBLANK('Control Entry'!H30),"",'Control Entry'!H30)</f>
        <v/>
      </c>
      <c r="F26" s="46" t="str">
        <f>IF(ISBLANK('Control Entry'!K30),"",'Control Entry'!K30)</f>
        <v/>
      </c>
      <c r="G26" s="11"/>
      <c r="H26" s="35" t="s">
        <v>46</v>
      </c>
    </row>
    <row r="27" spans="1:21" ht="36" customHeight="1" x14ac:dyDescent="0.35">
      <c r="A27" s="39"/>
      <c r="B27" s="40" t="str">
        <f>'Control Entry'!N31</f>
        <v/>
      </c>
      <c r="C27" s="40" t="str">
        <f>'Control Entry'!O31</f>
        <v/>
      </c>
      <c r="D27" s="47"/>
      <c r="E27" s="42" t="str">
        <f>IF(ISBLANK('Control Entry'!F31),"",'Control Entry'!F31)</f>
        <v/>
      </c>
      <c r="F27" s="42" t="str">
        <f>IF(ISBLANK('Control Entry'!I31),"",'Control Entry'!I31)</f>
        <v/>
      </c>
      <c r="G27" s="10"/>
      <c r="H27" s="35" t="s">
        <v>46</v>
      </c>
    </row>
    <row r="28" spans="1:21" ht="36" customHeight="1" x14ac:dyDescent="0.3">
      <c r="A28" s="48" t="str">
        <f>IF(ISBLANK('Control Entry'!D31),"",'Control Entry'!D31)</f>
        <v/>
      </c>
      <c r="B28" s="49" t="str">
        <f>'Control Entry'!N31</f>
        <v/>
      </c>
      <c r="C28" s="49" t="str">
        <f>'Control Entry'!O31</f>
        <v/>
      </c>
      <c r="D28" s="50" t="str">
        <f>IF(ISBLANK('Control Entry'!E31),"",'Control Entry'!E31)</f>
        <v/>
      </c>
      <c r="E28" s="42" t="str">
        <f>IF(ISBLANK('Control Entry'!G31),"",'Control Entry'!G31)</f>
        <v/>
      </c>
      <c r="F28" s="42" t="str">
        <f>IF(ISBLANK('Control Entry'!J31),"",'Control Entry'!J31)</f>
        <v/>
      </c>
      <c r="G28" s="10"/>
      <c r="H28" s="35" t="s">
        <v>46</v>
      </c>
    </row>
    <row r="29" spans="1:21" ht="36" customHeight="1" thickBot="1" x14ac:dyDescent="0.4">
      <c r="A29" s="43"/>
      <c r="B29" s="44" t="str">
        <f>'Control Entry'!N31</f>
        <v/>
      </c>
      <c r="C29" s="44" t="str">
        <f>'Control Entry'!O31</f>
        <v/>
      </c>
      <c r="D29" s="45"/>
      <c r="E29" s="46" t="str">
        <f>IF(ISBLANK('Control Entry'!H31),"",'Control Entry'!H31)</f>
        <v/>
      </c>
      <c r="F29" s="46" t="str">
        <f>IF(ISBLANK('Control Entry'!K31),"",'Control Entry'!K31)</f>
        <v/>
      </c>
      <c r="G29" s="11"/>
      <c r="H29" s="35" t="s">
        <v>46</v>
      </c>
      <c r="M29" s="120" t="s">
        <v>78</v>
      </c>
      <c r="N29" s="120"/>
      <c r="O29" s="120"/>
      <c r="P29" s="120"/>
      <c r="Q29" s="120"/>
      <c r="R29" s="120"/>
      <c r="S29" s="120"/>
      <c r="T29" s="120"/>
      <c r="U29" s="66"/>
    </row>
    <row r="30" spans="1:21" ht="36" customHeight="1" x14ac:dyDescent="0.35">
      <c r="A30" s="39"/>
      <c r="B30" s="40" t="str">
        <f>'Control Entry'!N32</f>
        <v/>
      </c>
      <c r="C30" s="40" t="str">
        <f>'Control Entry'!O32</f>
        <v/>
      </c>
      <c r="D30" s="47"/>
      <c r="E30" s="42" t="str">
        <f>IF(ISBLANK('Control Entry'!F32),"",'Control Entry'!F32)</f>
        <v/>
      </c>
      <c r="F30" s="42" t="str">
        <f>IF(ISBLANK('Control Entry'!I32),"",'Control Entry'!I32)</f>
        <v/>
      </c>
      <c r="G30" s="10"/>
      <c r="H30" s="35" t="s">
        <v>46</v>
      </c>
      <c r="M30" s="19"/>
      <c r="N30" s="27"/>
      <c r="O30" s="27"/>
      <c r="P30" s="28"/>
      <c r="Q30" s="27"/>
      <c r="R30" s="27"/>
      <c r="S30" s="27"/>
      <c r="T30" s="28"/>
      <c r="U30" s="29"/>
    </row>
    <row r="31" spans="1:21" ht="36" customHeight="1" x14ac:dyDescent="0.3">
      <c r="A31" s="48" t="str">
        <f>IF(ISBLANK('Control Entry'!D32),"",'Control Entry'!D32)</f>
        <v/>
      </c>
      <c r="B31" s="49" t="str">
        <f>'Control Entry'!N32</f>
        <v/>
      </c>
      <c r="C31" s="49" t="str">
        <f>'Control Entry'!O32</f>
        <v/>
      </c>
      <c r="D31" s="50" t="str">
        <f>IF(ISBLANK('Control Entry'!E32),"",'Control Entry'!E32)</f>
        <v/>
      </c>
      <c r="E31" s="42" t="str">
        <f>IF(ISBLANK('Control Entry'!G32),"",'Control Entry'!G32)</f>
        <v/>
      </c>
      <c r="F31" s="42" t="str">
        <f>IF(ISBLANK('Control Entry'!J32),"",'Control Entry'!J32)</f>
        <v/>
      </c>
      <c r="G31" s="10"/>
      <c r="H31" s="35" t="s">
        <v>46</v>
      </c>
      <c r="M31" s="20"/>
      <c r="N31" s="29"/>
      <c r="O31" s="29"/>
      <c r="P31" s="30"/>
      <c r="Q31" s="29"/>
      <c r="R31" s="29"/>
      <c r="S31" s="29"/>
      <c r="T31" s="30"/>
      <c r="U31" s="29"/>
    </row>
    <row r="32" spans="1:21" ht="36" customHeight="1" thickBot="1" x14ac:dyDescent="0.4">
      <c r="A32" s="43"/>
      <c r="B32" s="44" t="str">
        <f>'Control Entry'!N32</f>
        <v/>
      </c>
      <c r="C32" s="44" t="str">
        <f>'Control Entry'!O32</f>
        <v/>
      </c>
      <c r="D32" s="45"/>
      <c r="E32" s="46" t="str">
        <f>IF(ISBLANK('Control Entry'!H32),"",'Control Entry'!H32)</f>
        <v/>
      </c>
      <c r="F32" s="46" t="str">
        <f>IF(ISBLANK('Control Entry'!K32),"",'Control Entry'!K32)</f>
        <v/>
      </c>
      <c r="G32" s="11"/>
      <c r="H32" s="35" t="s">
        <v>46</v>
      </c>
      <c r="M32" s="65"/>
      <c r="N32" s="26"/>
      <c r="O32" s="26"/>
      <c r="P32" s="31"/>
      <c r="Q32" s="26"/>
      <c r="R32" s="26"/>
      <c r="S32" s="26"/>
      <c r="T32" s="31"/>
      <c r="U32" s="29"/>
    </row>
    <row r="33" spans="1:23" ht="36" customHeight="1" x14ac:dyDescent="0.35">
      <c r="A33" s="127" t="s">
        <v>79</v>
      </c>
      <c r="B33" s="127"/>
      <c r="C33" s="127"/>
      <c r="D33" s="127"/>
      <c r="E33" s="127"/>
      <c r="F33" s="127"/>
      <c r="G33" s="127"/>
      <c r="H33" s="51"/>
      <c r="I33" s="51"/>
      <c r="N33" s="123"/>
      <c r="O33" s="123"/>
      <c r="P33" s="123"/>
      <c r="Q33" s="123"/>
      <c r="R33" s="123"/>
      <c r="S33" s="123"/>
      <c r="T33" s="123"/>
      <c r="U33" s="123"/>
      <c r="V33" s="69"/>
      <c r="W33" s="69"/>
    </row>
    <row r="34" spans="1:23" ht="36" customHeight="1" x14ac:dyDescent="0.35">
      <c r="A34"/>
      <c r="O34" s="59"/>
      <c r="P34" s="59"/>
      <c r="Q34" s="59"/>
      <c r="R34" s="58"/>
    </row>
    <row r="35" spans="1:23" ht="36" customHeight="1" x14ac:dyDescent="0.25">
      <c r="A35"/>
      <c r="N35" s="120"/>
      <c r="O35" s="120"/>
      <c r="P35" s="120"/>
      <c r="Q35" s="120"/>
      <c r="R35" s="120"/>
      <c r="S35" s="120"/>
      <c r="T35" s="120"/>
      <c r="U35" s="120"/>
    </row>
    <row r="36" spans="1:23" ht="36" customHeight="1" x14ac:dyDescent="0.25">
      <c r="A36"/>
      <c r="N36" s="36"/>
      <c r="O36" s="29"/>
      <c r="P36" s="29"/>
      <c r="Q36" s="29"/>
      <c r="R36" s="29"/>
      <c r="S36" s="29"/>
      <c r="T36" s="29"/>
      <c r="U36" s="29"/>
    </row>
    <row r="37" spans="1:23" ht="36" customHeight="1" x14ac:dyDescent="0.25">
      <c r="A37"/>
      <c r="N37" s="36"/>
      <c r="O37" s="29"/>
      <c r="P37" s="29"/>
      <c r="Q37" s="29"/>
      <c r="R37" s="29"/>
      <c r="S37" s="29"/>
      <c r="T37" s="29"/>
      <c r="U37" s="29"/>
    </row>
    <row r="38" spans="1:23" ht="36" customHeight="1" x14ac:dyDescent="0.35">
      <c r="A38"/>
      <c r="N38" s="67"/>
      <c r="O38" s="29"/>
      <c r="P38" s="29"/>
      <c r="Q38" s="29"/>
      <c r="R38" s="29"/>
      <c r="S38" s="29"/>
      <c r="T38" s="29"/>
      <c r="U38" s="29"/>
    </row>
    <row r="39" spans="1:23" ht="36" customHeight="1" x14ac:dyDescent="0.25">
      <c r="A39"/>
    </row>
    <row r="40" spans="1:23" ht="36" customHeight="1" x14ac:dyDescent="0.25">
      <c r="A40"/>
    </row>
  </sheetData>
  <mergeCells count="17">
    <mergeCell ref="L6:U6"/>
    <mergeCell ref="T8:U8"/>
    <mergeCell ref="A1:G1"/>
    <mergeCell ref="K2:U2"/>
    <mergeCell ref="N3:S3"/>
    <mergeCell ref="M4:T4"/>
    <mergeCell ref="N5:O5"/>
    <mergeCell ref="R5:U5"/>
    <mergeCell ref="F3:F4"/>
    <mergeCell ref="A33:G33"/>
    <mergeCell ref="N33:U33"/>
    <mergeCell ref="N35:U35"/>
    <mergeCell ref="L21:U21"/>
    <mergeCell ref="L8:Q8"/>
    <mergeCell ref="M29:T29"/>
    <mergeCell ref="N18:S18"/>
    <mergeCell ref="N19:S19"/>
  </mergeCells>
  <phoneticPr fontId="16" type="noConversion"/>
  <printOptions verticalCentered="1"/>
  <pageMargins left="0.19685039370078741" right="0.19685039370078741" top="0.19685039370078741" bottom="0.19685039370078741" header="0.51181102362204722" footer="0.51181102362204722"/>
  <pageSetup scale="45" orientation="landscape" horizontalDpi="4294967292" verticalDpi="4294967292" r:id="rId1"/>
  <ignoredErrors>
    <ignoredError sqref="L8 T8" emptyCellReference="1"/>
  </ignoredErrors>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Control Card #1</vt:lpstr>
      <vt:lpstr>Control Card #2</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Start_date</vt:lpstr>
      <vt:lpstr>Start_time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Hinde</dc:creator>
  <cp:keywords/>
  <dc:description/>
  <cp:lastModifiedBy>Colin Fingler</cp:lastModifiedBy>
  <cp:revision/>
  <cp:lastPrinted>2021-08-17T21:55:25Z</cp:lastPrinted>
  <dcterms:created xsi:type="dcterms:W3CDTF">1997-11-12T04:43:39Z</dcterms:created>
  <dcterms:modified xsi:type="dcterms:W3CDTF">2021-08-17T22:20:56Z</dcterms:modified>
  <cp:category/>
  <cp:contentStatus/>
</cp:coreProperties>
</file>