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131"/>
  <workbookPr showInkAnnotation="0" autoCompressPictures="0"/>
  <mc:AlternateContent xmlns:mc="http://schemas.openxmlformats.org/markup-compatibility/2006">
    <mc:Choice Requires="x15">
      <x15ac:absPath xmlns:x15ac="http://schemas.microsoft.com/office/spreadsheetml/2010/11/ac" url="C:\Users\Colin Fingl\Documents\Colin\Rando\2021 Season\Seymour Dam 200\"/>
    </mc:Choice>
  </mc:AlternateContent>
  <xr:revisionPtr revIDLastSave="0" documentId="13_ncr:1_{37A1B34B-4793-4AF4-B82F-46C5AEB0E15F}" xr6:coauthVersionLast="47" xr6:coauthVersionMax="47" xr10:uidLastSave="{00000000-0000-0000-0000-000000000000}"/>
  <bookViews>
    <workbookView xWindow="-108" yWindow="-108" windowWidth="23256" windowHeight="12576" tabRatio="509" activeTab="1" xr2:uid="{00000000-000D-0000-FFFF-FFFF00000000}"/>
  </bookViews>
  <sheets>
    <sheet name="Control Entry" sheetId="1" r:id="rId1"/>
    <sheet name="Control Card #1" sheetId="2" r:id="rId2"/>
    <sheet name="Control Card #2" sheetId="3" r:id="rId3"/>
  </sheets>
  <definedNames>
    <definedName name="Address_1" localSheetId="2">#REF!</definedName>
    <definedName name="Address_1">#REF!</definedName>
    <definedName name="Address_2" localSheetId="2">#REF!</definedName>
    <definedName name="Address_2">#REF!</definedName>
    <definedName name="brevet">'Control Entry'!$C$1</definedName>
    <definedName name="Brevet_Description">'Control Entry'!$B$3</definedName>
    <definedName name="Brevet_Length">'Control Entry'!$B$1</definedName>
    <definedName name="Brevet_Number">'Control Entry'!$B$4</definedName>
    <definedName name="City" localSheetId="2">#REF!</definedName>
    <definedName name="City">#REF!</definedName>
    <definedName name="Close">'Control Entry'!$M$10:$M$19</definedName>
    <definedName name="Close_time">'Control Entry'!$O$10:$O$19</definedName>
    <definedName name="Control_1">'Control Entry'!$D$10:$O$10</definedName>
    <definedName name="Control_10">'Control Entry'!$D$19:$O$19</definedName>
    <definedName name="Control_11" localSheetId="2">'Control Entry'!#REF!</definedName>
    <definedName name="Control_11">'Control Entry'!#REF!</definedName>
    <definedName name="Control_12" localSheetId="2">'Control Entry'!#REF!</definedName>
    <definedName name="Control_12">'Control Entry'!#REF!</definedName>
    <definedName name="Control_13" localSheetId="2">'Control Entry'!#REF!</definedName>
    <definedName name="Control_13">'Control Entry'!#REF!</definedName>
    <definedName name="Control_14" localSheetId="2">'Control Entry'!#REF!</definedName>
    <definedName name="Control_14">'Control Entry'!#REF!</definedName>
    <definedName name="Control_15" localSheetId="2">'Control Entry'!#REF!</definedName>
    <definedName name="Control_15">'Control Entry'!#REF!</definedName>
    <definedName name="Control_16" localSheetId="2">'Control Entry'!#REF!</definedName>
    <definedName name="Control_16">'Control Entry'!#REF!</definedName>
    <definedName name="Control_17" localSheetId="2">'Control Entry'!#REF!</definedName>
    <definedName name="Control_17">'Control Entry'!#REF!</definedName>
    <definedName name="Control_18" localSheetId="2">'Control Entry'!#REF!</definedName>
    <definedName name="Control_18">'Control Entry'!#REF!</definedName>
    <definedName name="Control_19" localSheetId="2">'Control Entry'!#REF!</definedName>
    <definedName name="Control_19">'Control Entry'!#REF!</definedName>
    <definedName name="Control_2">'Control Entry'!$D$11:$O$11</definedName>
    <definedName name="Control_20" localSheetId="2">'Control Entry'!#REF!</definedName>
    <definedName name="Control_20">'Control Entry'!#REF!</definedName>
    <definedName name="Control_3">'Control Entry'!$D$12:$O$12</definedName>
    <definedName name="Control_4">'Control Entry'!$D$13:$O$13</definedName>
    <definedName name="Control_5">'Control Entry'!$D$14:$O$14</definedName>
    <definedName name="Control_6">'Control Entry'!$D$15:$O$15</definedName>
    <definedName name="Control_7">'Control Entry'!$D$16:$O$16</definedName>
    <definedName name="Control_8">'Control Entry'!$D$17:$O$17</definedName>
    <definedName name="Control_9">'Control Entry'!$D$18:$O$18</definedName>
    <definedName name="Country" localSheetId="2">#REF!</definedName>
    <definedName name="Country">#REF!</definedName>
    <definedName name="Distance">'Control Entry'!$D$10:$D$19</definedName>
    <definedName name="email" localSheetId="2">#REF!</definedName>
    <definedName name="email">#REF!</definedName>
    <definedName name="Establishment_1">'Control Entry'!$F$10:$F$19</definedName>
    <definedName name="Establishment_2">'Control Entry'!$G$10:$G$19</definedName>
    <definedName name="Establishment_3">'Control Entry'!$H$10:$H$19</definedName>
    <definedName name="Fax" localSheetId="2">#REF!</definedName>
    <definedName name="Fax">#REF!</definedName>
    <definedName name="First_Name" localSheetId="2">#REF!</definedName>
    <definedName name="First_Name">#REF!</definedName>
    <definedName name="Home_telephone" localSheetId="2">#REF!</definedName>
    <definedName name="Home_telephone">#REF!</definedName>
    <definedName name="HTML_CodePage" hidden="1">1252</definedName>
    <definedName name="HTML_Control" hidden="1">{"'Web sheet'!$A$1:$D$92"}</definedName>
    <definedName name="HTML_Description" hidden="1">""</definedName>
    <definedName name="HTML_Email" hidden="1">"randos@island.net"</definedName>
    <definedName name="HTML_Header" hidden="1">"Web sheet"</definedName>
    <definedName name="HTML_LastUpdate" hidden="1">"99-03-06"</definedName>
    <definedName name="HTML_LineAfter" hidden="1">TRUE</definedName>
    <definedName name="HTML_LineBefore" hidden="1">TRUE</definedName>
    <definedName name="HTML_Name" hidden="1">"Stephen Hinde"</definedName>
    <definedName name="HTML_OBDlg2" hidden="1">TRUE</definedName>
    <definedName name="HTML_OBDlg4" hidden="1">TRUE</definedName>
    <definedName name="HTML_OS" hidden="1">0</definedName>
    <definedName name="HTML_PathFile" hidden="1">"C:\My Documents\excel\MyHTML.htm"</definedName>
    <definedName name="HTML_Title" hidden="1">"VI0100B Nanaimo Populaire"</definedName>
    <definedName name="HTML1_1" hidden="1">"'[vi0100b.xls]VI0100B 970310'!$A$3:$D$22"</definedName>
    <definedName name="HTML1_10" hidden="1">"randos@island.net"</definedName>
    <definedName name="HTML1_11" hidden="1">1</definedName>
    <definedName name="HTML1_12" hidden="1">"C:\My Documents\Web Page\vi0100b.htm"</definedName>
    <definedName name="HTML1_2" hidden="1">1</definedName>
    <definedName name="HTML1_3" hidden="1">"100 km Populaire"</definedName>
    <definedName name="HTML1_4" hidden="1">"VI0100B 970310"</definedName>
    <definedName name="HTML1_5" hidden="1">"Nanaimo--Lantzville--Nanaimo--Yellow Point--Nanaimo"</definedName>
    <definedName name="HTML1_6" hidden="1">1</definedName>
    <definedName name="HTML1_7" hidden="1">1</definedName>
    <definedName name="HTML1_8" hidden="1">"26/10/97"</definedName>
    <definedName name="HTML1_9" hidden="1">"Stephen Hinde"</definedName>
    <definedName name="HTML2_1" hidden="1">"'[vi0100b.xls]VI0100B 970310'!$A$1:$D$22"</definedName>
    <definedName name="HTML2_10" hidden="1">"randos@island.net"</definedName>
    <definedName name="HTML2_11" hidden="1">1</definedName>
    <definedName name="HTML2_12" hidden="1">"C:\My Documents\Web Page\vi0100b.htm"</definedName>
    <definedName name="HTML2_2" hidden="1">1</definedName>
    <definedName name="HTML2_3" hidden="1">"100 km Populaire"</definedName>
    <definedName name="HTML2_4" hidden="1">"VI0100B 970310"</definedName>
    <definedName name="HTML2_5" hidden="1">"Nanaimo--Lantzville--Nanaimo--Yellow Point--Nanaimo"</definedName>
    <definedName name="HTML2_6" hidden="1">1</definedName>
    <definedName name="HTML2_7" hidden="1">1</definedName>
    <definedName name="HTML2_8" hidden="1">"26/10/97"</definedName>
    <definedName name="HTML2_9" hidden="1">"Stephen Hinde"</definedName>
    <definedName name="HTML3_1" hidden="1">"'[vi0100b.xls]VI0100B 970310'!$A$1:$D$24"</definedName>
    <definedName name="HTML3_10" hidden="1">"randos@island.net"</definedName>
    <definedName name="HTML3_11" hidden="1">1</definedName>
    <definedName name="HTML3_12" hidden="1">"C:\My Documents\excel\vi0100b.htm"</definedName>
    <definedName name="HTML3_2" hidden="1">1</definedName>
    <definedName name="HTML3_3" hidden="1">"Vancouver Island Populaire"</definedName>
    <definedName name="HTML3_4" hidden="1">"VI0100B 970310"</definedName>
    <definedName name="HTML3_5" hidden="1">"Nanaimo--Lantzville--Yellow Point--Nanaimo"</definedName>
    <definedName name="HTML3_6" hidden="1">1</definedName>
    <definedName name="HTML3_7" hidden="1">1</definedName>
    <definedName name="HTML3_8" hidden="1">"26/10/97"</definedName>
    <definedName name="HTML3_9" hidden="1">"Stephen Hinde"</definedName>
    <definedName name="HTML4_1" hidden="1">"'[VI0100B.xls]VI0100B 971026'!$A$1:$I$47"</definedName>
    <definedName name="HTML4_10" hidden="1">""</definedName>
    <definedName name="HTML4_11" hidden="1">1</definedName>
    <definedName name="HTML4_12" hidden="1">"C:\My Documents\Web Page\VI0100B.htm"</definedName>
    <definedName name="HTML4_2" hidden="1">1</definedName>
    <definedName name="HTML4_3" hidden="1">"VI0100B"</definedName>
    <definedName name="HTML4_4" hidden="1">"VI0100B 971026"</definedName>
    <definedName name="HTML4_5" hidden="1">""</definedName>
    <definedName name="HTML4_6" hidden="1">-4146</definedName>
    <definedName name="HTML4_7" hidden="1">-4146</definedName>
    <definedName name="HTML4_8" hidden="1">"26/10/97"</definedName>
    <definedName name="HTML4_9" hidden="1">"Stephen Hinde"</definedName>
    <definedName name="HTML5_1" hidden="1">"'[VI0100B.xls]VI0100B 971026'!$A$1:$I$23"</definedName>
    <definedName name="HTML5_10" hidden="1">""</definedName>
    <definedName name="HTML5_11" hidden="1">1</definedName>
    <definedName name="HTML5_12" hidden="1">"C:\My Documents\Web Page\VI0100B top.htm"</definedName>
    <definedName name="HTML5_2" hidden="1">1</definedName>
    <definedName name="HTML5_3" hidden="1">"VI0100B"</definedName>
    <definedName name="HTML5_4" hidden="1">"VI0100B 971026"</definedName>
    <definedName name="HTML5_5" hidden="1">""</definedName>
    <definedName name="HTML5_6" hidden="1">-4146</definedName>
    <definedName name="HTML5_7" hidden="1">-4146</definedName>
    <definedName name="HTML5_8" hidden="1">"97-10-26"</definedName>
    <definedName name="HTML5_9" hidden="1">"Stephen Hinde"</definedName>
    <definedName name="HTML6_1" hidden="1">"'[VI0100B.xls]VI0100B 971026'!$A$25:$I$47"</definedName>
    <definedName name="HTML6_10" hidden="1">""</definedName>
    <definedName name="HTML6_11" hidden="1">1</definedName>
    <definedName name="HTML6_12" hidden="1">"C:\My Documents\Web Page\VI0100B bottom"</definedName>
    <definedName name="HTML6_2" hidden="1">1</definedName>
    <definedName name="HTML6_3" hidden="1">"VI0100B"</definedName>
    <definedName name="HTML6_4" hidden="1">"VI0100B 971026"</definedName>
    <definedName name="HTML6_5" hidden="1">""</definedName>
    <definedName name="HTML6_6" hidden="1">-4146</definedName>
    <definedName name="HTML6_7" hidden="1">-4146</definedName>
    <definedName name="HTML6_8" hidden="1">"97-10-26"</definedName>
    <definedName name="HTML6_9" hidden="1">"Stephen Hinde"</definedName>
    <definedName name="HTML7_1" hidden="1">"'[VI0200A  Tour of Cowichan Valley.xls]Web sheet'!$A$1:$E$92"</definedName>
    <definedName name="HTML7_10" hidden="1">"randos@island.net"</definedName>
    <definedName name="HTML7_11" hidden="1">1</definedName>
    <definedName name="HTML7_12" hidden="1">"C:\My Documents\Web Page\200km_route_sheet.htm"</definedName>
    <definedName name="HTML7_2" hidden="1">1</definedName>
    <definedName name="HTML7_3" hidden="1">"VI0200A  Tour of Cowichan Valley"</definedName>
    <definedName name="HTML7_4" hidden="1">"Vancouver Island 200 km Brevet"</definedName>
    <definedName name="HTML7_5" hidden="1">""</definedName>
    <definedName name="HTML7_6" hidden="1">1</definedName>
    <definedName name="HTML7_7" hidden="1">1</definedName>
    <definedName name="HTML7_8" hidden="1">"97-11-23"</definedName>
    <definedName name="HTML7_9" hidden="1">"Stephen Hinde"</definedName>
    <definedName name="HTML8_1" hidden="1">"'[VI0300A  Duncan--Victoria.xls]Web sheet'!$A$1:$E$161"</definedName>
    <definedName name="HTML8_10" hidden="1">"randos@island.net"</definedName>
    <definedName name="HTML8_11" hidden="1">1</definedName>
    <definedName name="HTML8_12" hidden="1">"C:\My Documents\Web Page\300km_route_sheet_duncan.htm"</definedName>
    <definedName name="HTML8_2" hidden="1">1</definedName>
    <definedName name="HTML8_3" hidden="1">"VI0300A  Duncan--Victoria"</definedName>
    <definedName name="HTML8_4" hidden="1">"Web sheet"</definedName>
    <definedName name="HTML8_5" hidden="1">""</definedName>
    <definedName name="HTML8_6" hidden="1">1</definedName>
    <definedName name="HTML8_7" hidden="1">1</definedName>
    <definedName name="HTML8_8" hidden="1">"98-01-25"</definedName>
    <definedName name="HTML8_9" hidden="1">"Stephen Hinde"</definedName>
    <definedName name="HTMLCount" hidden="1">8</definedName>
    <definedName name="Initial" localSheetId="2">#REF!</definedName>
    <definedName name="Initial">#REF!</definedName>
    <definedName name="Locale">'Control Entry'!$E$10:$E$19</definedName>
    <definedName name="Max_time">'Control Entry'!$B$2</definedName>
    <definedName name="Open">'Control Entry'!$L$10:$L$19</definedName>
    <definedName name="Open_time">'Control Entry'!$N$10:$N$19</definedName>
    <definedName name="Postal_Code" localSheetId="2">#REF!</definedName>
    <definedName name="Postal_Code">#REF!</definedName>
    <definedName name="_xlnm.Print_Titles" localSheetId="1">'Control Card #1'!$1:$2</definedName>
    <definedName name="_xlnm.Print_Titles" localSheetId="2">'Control Card #2'!$1:$2</definedName>
    <definedName name="Province_State" localSheetId="2">#REF!</definedName>
    <definedName name="Province_State">#REF!</definedName>
    <definedName name="Start_date">'Control Entry'!$B$7</definedName>
    <definedName name="Start_time">'Control Entry'!$B$8</definedName>
    <definedName name="surname" localSheetId="2">#REF!</definedName>
    <definedName name="surname">#REF!</definedName>
    <definedName name="Work_telephone" localSheetId="2">#REF!</definedName>
    <definedName name="Work_telephone">#REF!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F3" i="2" l="1"/>
  <c r="D6" i="2"/>
  <c r="E17" i="2"/>
  <c r="E16" i="2"/>
  <c r="E15" i="2"/>
  <c r="E6" i="2"/>
  <c r="D15" i="2"/>
  <c r="M23" i="1"/>
  <c r="E7" i="3"/>
  <c r="E8" i="3"/>
  <c r="E5" i="3"/>
  <c r="F5" i="2"/>
  <c r="T8" i="3"/>
  <c r="L8" i="3"/>
  <c r="S3" i="2"/>
  <c r="F32" i="2"/>
  <c r="F31" i="2"/>
  <c r="F30" i="2"/>
  <c r="F29" i="2"/>
  <c r="F28" i="2"/>
  <c r="F27" i="2"/>
  <c r="F26" i="2"/>
  <c r="F25" i="2"/>
  <c r="F24" i="2"/>
  <c r="F23" i="2"/>
  <c r="F22" i="2"/>
  <c r="F21" i="2"/>
  <c r="F20" i="2"/>
  <c r="F19" i="2"/>
  <c r="F18" i="2"/>
  <c r="F17" i="2"/>
  <c r="F16" i="2"/>
  <c r="F15" i="2"/>
  <c r="F14" i="2"/>
  <c r="F13" i="2"/>
  <c r="F12" i="2"/>
  <c r="F11" i="2"/>
  <c r="F10" i="2"/>
  <c r="F9" i="2"/>
  <c r="F8" i="2"/>
  <c r="F7" i="2"/>
  <c r="F6" i="2"/>
  <c r="F4" i="2"/>
  <c r="L10" i="1"/>
  <c r="N10" i="1" s="1"/>
  <c r="N27" i="1" s="1"/>
  <c r="B17" i="3" s="1"/>
  <c r="F32" i="3"/>
  <c r="F31" i="3"/>
  <c r="F30" i="3"/>
  <c r="F29" i="3"/>
  <c r="F28" i="3"/>
  <c r="F27" i="3"/>
  <c r="F26" i="3"/>
  <c r="F25" i="3"/>
  <c r="F24" i="3"/>
  <c r="F23" i="3"/>
  <c r="F22" i="3"/>
  <c r="F21" i="3"/>
  <c r="F20" i="3"/>
  <c r="F19" i="3"/>
  <c r="F18" i="3"/>
  <c r="F17" i="3"/>
  <c r="F16" i="3"/>
  <c r="F15" i="3"/>
  <c r="F14" i="3"/>
  <c r="F13" i="3"/>
  <c r="F12" i="3"/>
  <c r="F11" i="3"/>
  <c r="F10" i="3"/>
  <c r="F9" i="3"/>
  <c r="F7" i="3"/>
  <c r="F8" i="3"/>
  <c r="F5" i="3"/>
  <c r="F6" i="3"/>
  <c r="F4" i="3"/>
  <c r="F3" i="3"/>
  <c r="E32" i="3"/>
  <c r="E31" i="3"/>
  <c r="E30" i="3"/>
  <c r="E29" i="3"/>
  <c r="E28" i="3"/>
  <c r="E27" i="3"/>
  <c r="E26" i="3"/>
  <c r="E25" i="3"/>
  <c r="E24" i="3"/>
  <c r="E23" i="3"/>
  <c r="E22" i="3"/>
  <c r="E21" i="3"/>
  <c r="E20" i="3"/>
  <c r="E19" i="3"/>
  <c r="E18" i="3"/>
  <c r="E17" i="3"/>
  <c r="E16" i="3"/>
  <c r="E15" i="3"/>
  <c r="E14" i="3"/>
  <c r="E13" i="3"/>
  <c r="E12" i="3"/>
  <c r="E11" i="3"/>
  <c r="E10" i="3"/>
  <c r="E9" i="3"/>
  <c r="E6" i="3"/>
  <c r="L24" i="1"/>
  <c r="N24" i="1" s="1"/>
  <c r="B8" i="3" s="1"/>
  <c r="L25" i="1"/>
  <c r="L26" i="1"/>
  <c r="L27" i="1"/>
  <c r="L28" i="1"/>
  <c r="N28" i="1" s="1"/>
  <c r="B20" i="3" s="1"/>
  <c r="L29" i="1"/>
  <c r="M29" i="1"/>
  <c r="L30" i="1"/>
  <c r="M30" i="1"/>
  <c r="L31" i="1"/>
  <c r="M31" i="1"/>
  <c r="L32" i="1"/>
  <c r="M32" i="1"/>
  <c r="L23" i="1"/>
  <c r="C1" i="1"/>
  <c r="M4" i="3" s="1"/>
  <c r="E4" i="3"/>
  <c r="E3" i="3"/>
  <c r="D31" i="3"/>
  <c r="D28" i="3"/>
  <c r="D25" i="3"/>
  <c r="D22" i="3"/>
  <c r="D19" i="3"/>
  <c r="D16" i="3"/>
  <c r="D13" i="3"/>
  <c r="D10" i="3"/>
  <c r="D7" i="3"/>
  <c r="D4" i="3"/>
  <c r="A31" i="3"/>
  <c r="A28" i="3"/>
  <c r="A25" i="3"/>
  <c r="A22" i="3"/>
  <c r="A19" i="3"/>
  <c r="A16" i="3"/>
  <c r="A13" i="3"/>
  <c r="A10" i="3"/>
  <c r="A7" i="3"/>
  <c r="A4" i="3"/>
  <c r="M19" i="1"/>
  <c r="L19" i="1"/>
  <c r="M18" i="1"/>
  <c r="L18" i="1"/>
  <c r="M17" i="1"/>
  <c r="L17" i="1"/>
  <c r="M16" i="1"/>
  <c r="L16" i="1"/>
  <c r="M15" i="1"/>
  <c r="L15" i="1"/>
  <c r="L14" i="1"/>
  <c r="L13" i="1"/>
  <c r="L12" i="1"/>
  <c r="L11" i="1"/>
  <c r="L6" i="3"/>
  <c r="R5" i="3"/>
  <c r="P5" i="3"/>
  <c r="L6" i="2"/>
  <c r="S20" i="2"/>
  <c r="R5" i="2"/>
  <c r="P5" i="2"/>
  <c r="A7" i="2"/>
  <c r="E32" i="2"/>
  <c r="E31" i="2"/>
  <c r="E30" i="2"/>
  <c r="E29" i="2"/>
  <c r="E28" i="2"/>
  <c r="E27" i="2"/>
  <c r="E26" i="2"/>
  <c r="E25" i="2"/>
  <c r="E24" i="2"/>
  <c r="E23" i="2"/>
  <c r="E22" i="2"/>
  <c r="E21" i="2"/>
  <c r="E20" i="2"/>
  <c r="E19" i="2"/>
  <c r="E18" i="2"/>
  <c r="E14" i="2"/>
  <c r="E13" i="2"/>
  <c r="E12" i="2"/>
  <c r="E11" i="2"/>
  <c r="E10" i="2"/>
  <c r="E9" i="2"/>
  <c r="E8" i="2"/>
  <c r="E7" i="2"/>
  <c r="E5" i="2"/>
  <c r="E4" i="2"/>
  <c r="E3" i="2"/>
  <c r="D25" i="2"/>
  <c r="D28" i="2"/>
  <c r="D31" i="2"/>
  <c r="A31" i="2"/>
  <c r="A4" i="2"/>
  <c r="D18" i="2"/>
  <c r="D12" i="2"/>
  <c r="D9" i="2"/>
  <c r="D3" i="2"/>
  <c r="D22" i="2"/>
  <c r="A28" i="2"/>
  <c r="A25" i="2"/>
  <c r="A22" i="2"/>
  <c r="A19" i="2"/>
  <c r="A10" i="2"/>
  <c r="A16" i="2"/>
  <c r="A13" i="2"/>
  <c r="N31" i="1"/>
  <c r="B29" i="3" s="1"/>
  <c r="N29" i="1"/>
  <c r="B23" i="3" s="1"/>
  <c r="O32" i="1"/>
  <c r="C30" i="3" s="1"/>
  <c r="O30" i="1"/>
  <c r="C24" i="3" s="1"/>
  <c r="N32" i="1"/>
  <c r="B32" i="3" s="1"/>
  <c r="O31" i="1"/>
  <c r="C27" i="3" s="1"/>
  <c r="O29" i="1"/>
  <c r="C21" i="3" s="1"/>
  <c r="N30" i="1"/>
  <c r="B26" i="3" s="1"/>
  <c r="N19" i="1"/>
  <c r="B32" i="2" s="1"/>
  <c r="O19" i="1"/>
  <c r="C30" i="2" s="1"/>
  <c r="N18" i="1"/>
  <c r="B29" i="2" s="1"/>
  <c r="O18" i="1"/>
  <c r="C29" i="2" s="1"/>
  <c r="N17" i="1"/>
  <c r="B24" i="2" s="1"/>
  <c r="O17" i="1"/>
  <c r="C24" i="2" s="1"/>
  <c r="N26" i="1" l="1"/>
  <c r="B14" i="3" s="1"/>
  <c r="C26" i="3"/>
  <c r="B2" i="1"/>
  <c r="M28" i="1" s="1"/>
  <c r="O28" i="1" s="1"/>
  <c r="O26" i="1"/>
  <c r="C12" i="3" s="1"/>
  <c r="O23" i="1"/>
  <c r="C3" i="3" s="1"/>
  <c r="M27" i="1"/>
  <c r="O27" i="1" s="1"/>
  <c r="C15" i="3" s="1"/>
  <c r="M25" i="1"/>
  <c r="O25" i="1" s="1"/>
  <c r="N25" i="1"/>
  <c r="B11" i="3" s="1"/>
  <c r="M4" i="2"/>
  <c r="N23" i="1"/>
  <c r="B5" i="3" s="1"/>
  <c r="M26" i="1"/>
  <c r="M24" i="1"/>
  <c r="O24" i="1" s="1"/>
  <c r="C29" i="3"/>
  <c r="B15" i="3"/>
  <c r="M12" i="1"/>
  <c r="M14" i="1"/>
  <c r="O14" i="1" s="1"/>
  <c r="C16" i="2" s="1"/>
  <c r="M11" i="1"/>
  <c r="O11" i="1" s="1"/>
  <c r="M13" i="1"/>
  <c r="O13" i="1" s="1"/>
  <c r="B18" i="3"/>
  <c r="B16" i="3"/>
  <c r="C28" i="2"/>
  <c r="B26" i="2"/>
  <c r="B24" i="3"/>
  <c r="B19" i="3"/>
  <c r="C25" i="2"/>
  <c r="C32" i="2"/>
  <c r="C28" i="3"/>
  <c r="B13" i="3"/>
  <c r="B27" i="3"/>
  <c r="B28" i="3"/>
  <c r="C27" i="2"/>
  <c r="C17" i="3"/>
  <c r="C26" i="2"/>
  <c r="B25" i="3"/>
  <c r="B28" i="2"/>
  <c r="B27" i="2"/>
  <c r="O12" i="1"/>
  <c r="C10" i="2" s="1"/>
  <c r="N13" i="1"/>
  <c r="B13" i="2" s="1"/>
  <c r="O15" i="1"/>
  <c r="B4" i="2"/>
  <c r="M10" i="1"/>
  <c r="O10" i="1" s="1"/>
  <c r="C3" i="2" s="1"/>
  <c r="B25" i="2"/>
  <c r="C31" i="3"/>
  <c r="B12" i="3"/>
  <c r="C31" i="2"/>
  <c r="B6" i="3"/>
  <c r="O16" i="1"/>
  <c r="C22" i="2" s="1"/>
  <c r="B30" i="2"/>
  <c r="C32" i="3"/>
  <c r="B31" i="2"/>
  <c r="B22" i="3"/>
  <c r="B7" i="3"/>
  <c r="C25" i="3"/>
  <c r="B5" i="2"/>
  <c r="C23" i="3"/>
  <c r="B31" i="3"/>
  <c r="B30" i="3"/>
  <c r="C22" i="3"/>
  <c r="B21" i="3"/>
  <c r="B3" i="2"/>
  <c r="N11" i="1"/>
  <c r="N12" i="1"/>
  <c r="N14" i="1"/>
  <c r="N15" i="1"/>
  <c r="N16" i="1"/>
  <c r="C5" i="3" l="1"/>
  <c r="B4" i="3"/>
  <c r="C16" i="3"/>
  <c r="C14" i="3"/>
  <c r="C13" i="3"/>
  <c r="C6" i="3"/>
  <c r="C8" i="3"/>
  <c r="C7" i="3"/>
  <c r="C9" i="3"/>
  <c r="C10" i="3"/>
  <c r="C11" i="3"/>
  <c r="C20" i="3"/>
  <c r="C19" i="3"/>
  <c r="C18" i="3"/>
  <c r="B10" i="3"/>
  <c r="C4" i="3"/>
  <c r="B3" i="3"/>
  <c r="B9" i="3"/>
  <c r="C11" i="2"/>
  <c r="C23" i="2"/>
  <c r="C9" i="2"/>
  <c r="C21" i="2"/>
  <c r="C17" i="2"/>
  <c r="C18" i="2"/>
  <c r="C20" i="2"/>
  <c r="C19" i="2"/>
  <c r="C15" i="2"/>
  <c r="C4" i="2"/>
  <c r="C5" i="2"/>
  <c r="B12" i="2"/>
  <c r="B14" i="2"/>
  <c r="C12" i="2"/>
  <c r="C13" i="2"/>
  <c r="C14" i="2"/>
  <c r="C7" i="2"/>
  <c r="C8" i="2"/>
  <c r="C6" i="2"/>
  <c r="B10" i="2"/>
  <c r="B11" i="2"/>
  <c r="B9" i="2"/>
  <c r="B7" i="2"/>
  <c r="B8" i="2"/>
  <c r="B6" i="2"/>
  <c r="B23" i="2"/>
  <c r="B21" i="2"/>
  <c r="B22" i="2"/>
  <c r="B19" i="2"/>
  <c r="B20" i="2"/>
  <c r="B18" i="2"/>
  <c r="B17" i="2"/>
  <c r="B16" i="2"/>
  <c r="B15"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Stephen Hinde</author>
    <author>A satisfied Microsoft Office user</author>
  </authors>
  <commentList>
    <comment ref="B1" authorId="0" shapeId="0" xr:uid="{00000000-0006-0000-0000-000001000000}">
      <text>
        <r>
          <rPr>
            <b/>
            <sz val="10"/>
            <color rgb="FF000000"/>
            <rFont val="Tahoma"/>
            <family val="2"/>
          </rPr>
          <t>Stephen Hinde:</t>
        </r>
        <r>
          <rPr>
            <sz val="10"/>
            <color rgb="FF000000"/>
            <rFont val="Tahoma"/>
            <family val="2"/>
          </rPr>
          <t xml:space="preserve">
</t>
        </r>
        <r>
          <rPr>
            <sz val="10"/>
            <color rgb="FF000000"/>
            <rFont val="Tahoma"/>
            <family val="2"/>
          </rPr>
          <t xml:space="preserve">Nominal ACP distance
</t>
        </r>
        <r>
          <rPr>
            <sz val="10"/>
            <color rgb="FF000000"/>
            <rFont val="Tahoma"/>
            <family val="2"/>
          </rPr>
          <t xml:space="preserve">
</t>
        </r>
        <r>
          <rPr>
            <sz val="10"/>
            <color rgb="FF000000"/>
            <rFont val="Tahoma"/>
            <family val="2"/>
          </rPr>
          <t>eg 200, 300, 400, 600</t>
        </r>
      </text>
    </comment>
    <comment ref="B2" authorId="1" shapeId="0" xr:uid="{00000000-0006-0000-0000-000002000000}">
      <text>
        <r>
          <rPr>
            <sz val="8"/>
            <color rgb="FF000000"/>
            <rFont val="Tahoma"/>
            <family val="2"/>
          </rPr>
          <t>Partial result of closing time calculation to avoid limitation of only 7 nested functions</t>
        </r>
      </text>
    </comment>
    <comment ref="B4" authorId="0" shapeId="0" xr:uid="{00000000-0006-0000-0000-000003000000}">
      <text>
        <r>
          <rPr>
            <b/>
            <sz val="10"/>
            <color rgb="FF000000"/>
            <rFont val="Tahoma"/>
            <family val="2"/>
          </rPr>
          <t>Stephen Hinde:</t>
        </r>
        <r>
          <rPr>
            <sz val="10"/>
            <color rgb="FF000000"/>
            <rFont val="Tahoma"/>
            <family val="2"/>
          </rPr>
          <t xml:space="preserve">
</t>
        </r>
        <r>
          <rPr>
            <sz val="10"/>
            <color rgb="FF000000"/>
            <rFont val="Tahoma"/>
            <family val="2"/>
          </rPr>
          <t>On event page</t>
        </r>
      </text>
    </comment>
    <comment ref="B5" authorId="0" shapeId="0" xr:uid="{00000000-0006-0000-0000-000004000000}">
      <text>
        <r>
          <rPr>
            <b/>
            <sz val="10"/>
            <color rgb="FF000000"/>
            <rFont val="Tahoma"/>
            <family val="2"/>
          </rPr>
          <t>Stephen Hinde:</t>
        </r>
        <r>
          <rPr>
            <sz val="10"/>
            <color rgb="FF000000"/>
            <rFont val="Tahoma"/>
            <family val="2"/>
          </rPr>
          <t xml:space="preserve">
</t>
        </r>
        <r>
          <rPr>
            <sz val="10"/>
            <color rgb="FF000000"/>
            <rFont val="Tahoma"/>
            <family val="2"/>
          </rPr>
          <t>Official ACP date</t>
        </r>
      </text>
    </comment>
    <comment ref="B7" authorId="0" shapeId="0" xr:uid="{00000000-0006-0000-0000-000005000000}">
      <text>
        <r>
          <rPr>
            <b/>
            <sz val="10"/>
            <color rgb="FF000000"/>
            <rFont val="Tahoma"/>
            <family val="2"/>
          </rPr>
          <t>Stephen Hinde:</t>
        </r>
        <r>
          <rPr>
            <sz val="10"/>
            <color rgb="FF000000"/>
            <rFont val="Tahoma"/>
            <family val="2"/>
          </rPr>
          <t xml:space="preserve">
</t>
        </r>
        <r>
          <rPr>
            <sz val="10"/>
            <color rgb="FF000000"/>
            <rFont val="Tahoma"/>
            <family val="2"/>
          </rPr>
          <t xml:space="preserve">Actual date
</t>
        </r>
        <r>
          <rPr>
            <sz val="10"/>
            <color rgb="FF000000"/>
            <rFont val="Tahoma"/>
            <family val="2"/>
          </rPr>
          <t xml:space="preserve">
</t>
        </r>
        <r>
          <rPr>
            <sz val="10"/>
            <color rgb="FF000000"/>
            <rFont val="Tahoma"/>
            <family val="2"/>
          </rPr>
          <t>Recommend using Schedule date</t>
        </r>
      </text>
    </comment>
  </commentList>
</comments>
</file>

<file path=xl/sharedStrings.xml><?xml version="1.0" encoding="utf-8"?>
<sst xmlns="http://schemas.openxmlformats.org/spreadsheetml/2006/main" count="209" uniqueCount="99">
  <si>
    <t>Brevet Length:</t>
  </si>
  <si>
    <t>Instructions</t>
  </si>
  <si>
    <t>Fill nominal brevet length.  This is the ACP distance eg 200, 300, 1000</t>
  </si>
  <si>
    <t>Maximum Time:</t>
  </si>
  <si>
    <t>Maximum allowable time automatically calculated</t>
  </si>
  <si>
    <t>Brevet Description:</t>
  </si>
  <si>
    <t>Enter the brevet name eg 'Remembrance Day Brevet'</t>
  </si>
  <si>
    <t>Brevet Number:</t>
  </si>
  <si>
    <t>Enter the brevet number.  This is the BCR database number, and can be found on the event page in the database</t>
  </si>
  <si>
    <t>Schedule date:</t>
  </si>
  <si>
    <t>Enter the schedule date.  This is the official ACP listed date and can be found on the shcedule on the website</t>
  </si>
  <si>
    <t>Start Date:</t>
  </si>
  <si>
    <t>Enter the start date.  This will always be the same as the schedule date, unless a ride window has been enabled.</t>
  </si>
  <si>
    <t>Start Time:</t>
  </si>
  <si>
    <t>Control Card #1</t>
  </si>
  <si>
    <t>Control Card #1 Information Control Question (optional)</t>
  </si>
  <si>
    <t>Enter the start time.  This will always be the official ACP listed start time found on the event page, unless a ride window has been enabled.</t>
  </si>
  <si>
    <t>Distance</t>
  </si>
  <si>
    <t>Locale</t>
  </si>
  <si>
    <t>Establishment 1</t>
  </si>
  <si>
    <t>Establishment 2</t>
  </si>
  <si>
    <t>Establishment 3</t>
  </si>
  <si>
    <t>Signature/Answer 1</t>
  </si>
  <si>
    <t>Signature/Answer 2</t>
  </si>
  <si>
    <t>Signature/Answer 3</t>
  </si>
  <si>
    <t>Open</t>
  </si>
  <si>
    <t>Close</t>
  </si>
  <si>
    <t>Open time</t>
  </si>
  <si>
    <t>Close time</t>
  </si>
  <si>
    <t>Fill in the control distance.  The opening and closing times will be automatically calculated based on the start time and the brevet distance.  If you need more than 10 controls, use card #2, otherwise leave that section blank.</t>
  </si>
  <si>
    <t>Control 1</t>
  </si>
  <si>
    <t>Fill in the Locale (city) for each control.  Establishment 1, 2, and 3 can be used to describe the control itself eg Locale Hope  Est.1 Dairy Queen Est.2 817 Water Ave Est. 3 (leaft blank)</t>
  </si>
  <si>
    <t>Control 2</t>
  </si>
  <si>
    <t>When using information controls, you can put your question in the Signature/Answer section eg Sig/Ans.1 Sign on main door  Sig/Ans. 2  This week's special is?  Sig/Ans. 3 ________________</t>
  </si>
  <si>
    <t>Control 3</t>
  </si>
  <si>
    <t>Control 4</t>
  </si>
  <si>
    <t>Control 5</t>
  </si>
  <si>
    <t>Note:  Control Card #1 will only show '#1' if a distance is entered into the first distance box for Control Card #2</t>
  </si>
  <si>
    <t>Control 6</t>
  </si>
  <si>
    <t>Control 7</t>
  </si>
  <si>
    <t>Control 8</t>
  </si>
  <si>
    <t>Control 9</t>
  </si>
  <si>
    <t>Control 10</t>
  </si>
  <si>
    <t>Control Card #2</t>
  </si>
  <si>
    <t>Control Card #2 Information Control Question (optional)</t>
  </si>
  <si>
    <r>
      <t xml:space="preserve">Please </t>
    </r>
    <r>
      <rPr>
        <b/>
        <i/>
        <sz val="16"/>
        <rFont val="Arial"/>
        <family val="2"/>
      </rPr>
      <t>answer questions</t>
    </r>
    <r>
      <rPr>
        <i/>
        <sz val="16"/>
        <rFont val="Arial"/>
        <family val="2"/>
      </rPr>
      <t xml:space="preserve"> and</t>
    </r>
    <r>
      <rPr>
        <b/>
        <i/>
        <sz val="16"/>
        <rFont val="Arial"/>
        <family val="2"/>
      </rPr>
      <t xml:space="preserve"> note time of day</t>
    </r>
  </si>
  <si>
    <t>|</t>
  </si>
  <si>
    <t>DIST (km)</t>
  </si>
  <si>
    <t>Establishment</t>
  </si>
  <si>
    <t>Signature/Answer</t>
  </si>
  <si>
    <t>Time of Passage</t>
  </si>
  <si>
    <t>Founding member of LES RANDONNEURS MONDIAUX (1983)</t>
  </si>
  <si>
    <t>Control Card</t>
  </si>
  <si>
    <t xml:space="preserve">Brevet No. </t>
  </si>
  <si>
    <t>Name</t>
  </si>
  <si>
    <t>Member #</t>
  </si>
  <si>
    <t>Address</t>
  </si>
  <si>
    <t>(only add if change needed to database)</t>
  </si>
  <si>
    <t>City</t>
  </si>
  <si>
    <t>Province/State</t>
  </si>
  <si>
    <t>Country</t>
  </si>
  <si>
    <t>Postal Code</t>
  </si>
  <si>
    <t>Telephone</t>
  </si>
  <si>
    <t>email</t>
  </si>
  <si>
    <t>Ride Day Emergency Contact</t>
  </si>
  <si>
    <t>Start Date</t>
  </si>
  <si>
    <t>Start time</t>
  </si>
  <si>
    <t>Finish Date</t>
  </si>
  <si>
    <t>Finish time</t>
  </si>
  <si>
    <t>Elapsed time</t>
  </si>
  <si>
    <t>Rider's signature at completion</t>
  </si>
  <si>
    <t>Bicycle Type
Circle one</t>
  </si>
  <si>
    <t>-------&gt;</t>
  </si>
  <si>
    <t>Single</t>
  </si>
  <si>
    <t>Tandem</t>
  </si>
  <si>
    <t>Fixed</t>
  </si>
  <si>
    <t>Recumbent</t>
  </si>
  <si>
    <t>Velomobile</t>
  </si>
  <si>
    <t>Randonneur Committee Authorization</t>
  </si>
  <si>
    <t>Report results or abandonment through registration email link</t>
  </si>
  <si>
    <t>Complete ride details on Card #1</t>
  </si>
  <si>
    <t>See More than the Seymour Dam</t>
  </si>
  <si>
    <t>Vancouver, Ross St @ 43rd Ave</t>
  </si>
  <si>
    <t>Sign in parking lot, near footpath</t>
  </si>
  <si>
    <t>Maximum fine for smoking</t>
  </si>
  <si>
    <t>North Vancouver, Myrtle Park</t>
  </si>
  <si>
    <t>Sign on outside wall of washrooms</t>
  </si>
  <si>
    <t>"S____   p____ users play at their own risk."</t>
  </si>
  <si>
    <t>North Vancouver, Seymour Dam gate</t>
  </si>
  <si>
    <t>Sign on gate</t>
  </si>
  <si>
    <t>"Failure to do so may result in damage to the g___ and b___."</t>
  </si>
  <si>
    <t>Richmond, Iona Park Washrooms</t>
  </si>
  <si>
    <t>Sign at drinking fountain</t>
  </si>
  <si>
    <t>"s___ and m__" will clog the pipe.</t>
  </si>
  <si>
    <t>Delta, Burns Dr @ 64 St, bike path entrance</t>
  </si>
  <si>
    <t>Bright yellow sign</t>
  </si>
  <si>
    <t>"Warning G___ P____"</t>
  </si>
  <si>
    <t>Initial upon completion.</t>
  </si>
  <si>
    <t>Maximum fine for smoking?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</si>
</sst>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dd/mmm/yy\ hh:mm\ AM/PM"/>
    <numFmt numFmtId="165" formatCode="d/mmm/yy"/>
    <numFmt numFmtId="166" formatCode="dddd"/>
    <numFmt numFmtId="167" formatCode="0.0"/>
    <numFmt numFmtId="168" formatCode="mmmm\ d\,\ yyyy"/>
    <numFmt numFmtId="169" formatCode="[&lt;=9999999]###\-####;\(###\)\ ###\-####"/>
  </numFmts>
  <fonts count="31" x14ac:knownFonts="1">
    <font>
      <sz val="10"/>
      <name val="Arial"/>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0"/>
      <name val="Arial"/>
      <family val="2"/>
    </font>
    <font>
      <sz val="12"/>
      <name val="Arial"/>
      <family val="2"/>
    </font>
    <font>
      <sz val="14"/>
      <name val="Arial"/>
      <family val="2"/>
    </font>
    <font>
      <sz val="20"/>
      <name val="Arial"/>
      <family val="2"/>
    </font>
    <font>
      <sz val="36"/>
      <name val="Arial"/>
      <family val="2"/>
    </font>
    <font>
      <sz val="16"/>
      <name val="Arial"/>
      <family val="2"/>
    </font>
    <font>
      <i/>
      <sz val="14"/>
      <name val="Arial"/>
      <family val="2"/>
    </font>
    <font>
      <sz val="18"/>
      <name val="Arial"/>
      <family val="2"/>
    </font>
    <font>
      <sz val="14"/>
      <name val="Arial Narrow"/>
      <family val="2"/>
    </font>
    <font>
      <b/>
      <sz val="14"/>
      <name val="Arial Narrow"/>
      <family val="2"/>
    </font>
    <font>
      <b/>
      <sz val="16"/>
      <name val="Arial Narrow"/>
      <family val="2"/>
    </font>
    <font>
      <sz val="8"/>
      <name val="Arial"/>
      <family val="2"/>
    </font>
    <font>
      <u/>
      <sz val="10"/>
      <color theme="10"/>
      <name val="Arial"/>
      <family val="2"/>
    </font>
    <font>
      <u/>
      <sz val="10"/>
      <color theme="11"/>
      <name val="Arial"/>
      <family val="2"/>
    </font>
    <font>
      <b/>
      <sz val="16"/>
      <name val="Arial"/>
      <family val="2"/>
    </font>
    <font>
      <sz val="8"/>
      <color rgb="FF000000"/>
      <name val="Tahoma"/>
      <family val="2"/>
    </font>
    <font>
      <i/>
      <sz val="16"/>
      <name val="Arial"/>
      <family val="2"/>
    </font>
    <font>
      <b/>
      <i/>
      <sz val="16"/>
      <name val="Arial"/>
      <family val="2"/>
    </font>
    <font>
      <sz val="16"/>
      <name val="Arial Narrow"/>
      <family val="2"/>
    </font>
    <font>
      <sz val="20"/>
      <color theme="0" tint="-0.14999847407452621"/>
      <name val="Impact"/>
      <family val="2"/>
    </font>
    <font>
      <sz val="11"/>
      <color theme="1"/>
      <name val="Calibri"/>
      <family val="2"/>
      <scheme val="minor"/>
    </font>
    <font>
      <sz val="10"/>
      <color rgb="FF000000"/>
      <name val="Tahoma"/>
      <family val="2"/>
    </font>
    <font>
      <b/>
      <sz val="10"/>
      <color rgb="FF000000"/>
      <name val="Tahoma"/>
      <family val="2"/>
    </font>
    <font>
      <sz val="10"/>
      <name val="Arial Narrow"/>
      <family val="2"/>
    </font>
    <font>
      <sz val="10"/>
      <color rgb="FFFF0000"/>
      <name val="Arial"/>
      <family val="2"/>
    </font>
    <font>
      <sz val="12"/>
      <name val="Arial Narrow"/>
      <family val="2"/>
    </font>
  </fonts>
  <fills count="3">
    <fill>
      <patternFill patternType="none"/>
    </fill>
    <fill>
      <patternFill patternType="gray125"/>
    </fill>
    <fill>
      <patternFill patternType="solid">
        <fgColor indexed="22"/>
        <bgColor indexed="64"/>
      </patternFill>
    </fill>
  </fills>
  <borders count="29">
    <border>
      <left/>
      <right/>
      <top/>
      <bottom/>
      <diagonal/>
    </border>
    <border>
      <left style="medium">
        <color auto="1"/>
      </left>
      <right style="medium">
        <color auto="1"/>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bottom style="thin">
        <color auto="1"/>
      </bottom>
      <diagonal/>
    </border>
    <border>
      <left/>
      <right style="medium">
        <color auto="1"/>
      </right>
      <top/>
      <bottom style="thin">
        <color auto="1"/>
      </bottom>
      <diagonal/>
    </border>
    <border>
      <left/>
      <right/>
      <top style="medium">
        <color auto="1"/>
      </top>
      <bottom style="medium">
        <color auto="1"/>
      </bottom>
      <diagonal/>
    </border>
    <border>
      <left style="medium">
        <color auto="1"/>
      </left>
      <right/>
      <top/>
      <bottom/>
      <diagonal/>
    </border>
    <border>
      <left style="medium">
        <color auto="1"/>
      </left>
      <right style="medium">
        <color auto="1"/>
      </right>
      <top/>
      <bottom style="medium">
        <color auto="1"/>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right style="thin">
        <color auto="1"/>
      </right>
      <top style="medium">
        <color auto="1"/>
      </top>
      <bottom style="medium">
        <color auto="1"/>
      </bottom>
      <diagonal/>
    </border>
    <border>
      <left style="medium">
        <color auto="1"/>
      </left>
      <right style="thin">
        <color auto="1"/>
      </right>
      <top/>
      <bottom style="thin">
        <color auto="1"/>
      </bottom>
      <diagonal/>
    </border>
    <border>
      <left/>
      <right style="thin">
        <color auto="1"/>
      </right>
      <top/>
      <bottom style="thin">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bottom/>
      <diagonal/>
    </border>
    <border>
      <left/>
      <right style="medium">
        <color auto="1"/>
      </right>
      <top/>
      <bottom/>
      <diagonal/>
    </border>
    <border>
      <left/>
      <right/>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
      <left style="medium">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right style="thin">
        <color auto="1"/>
      </right>
      <top style="thin">
        <color auto="1"/>
      </top>
      <bottom style="medium">
        <color auto="1"/>
      </bottom>
      <diagonal/>
    </border>
    <border>
      <left style="medium">
        <color auto="1"/>
      </left>
      <right style="medium">
        <color auto="1"/>
      </right>
      <top style="medium">
        <color auto="1"/>
      </top>
      <bottom/>
      <diagonal/>
    </border>
  </borders>
  <cellStyleXfs count="342">
    <xf numFmtId="0" fontId="0" fillId="0" borderId="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25" fillId="0" borderId="0"/>
    <xf numFmtId="0" fontId="4" fillId="0" borderId="0"/>
    <xf numFmtId="0" fontId="5" fillId="0" borderId="0"/>
    <xf numFmtId="0" fontId="3" fillId="0" borderId="0"/>
    <xf numFmtId="0" fontId="2" fillId="0" borderId="0"/>
    <xf numFmtId="0" fontId="1" fillId="0" borderId="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cellStyleXfs>
  <cellXfs count="136">
    <xf numFmtId="0" fontId="0" fillId="0" borderId="0" xfId="0"/>
    <xf numFmtId="0" fontId="0" fillId="0" borderId="16" xfId="0" applyBorder="1"/>
    <xf numFmtId="0" fontId="0" fillId="0" borderId="0" xfId="0" applyAlignment="1">
      <alignment horizontal="right"/>
    </xf>
    <xf numFmtId="0" fontId="0" fillId="0" borderId="0" xfId="0" applyProtection="1">
      <protection hidden="1"/>
    </xf>
    <xf numFmtId="164" fontId="0" fillId="0" borderId="0" xfId="0" applyNumberFormat="1" applyBorder="1"/>
    <xf numFmtId="164" fontId="0" fillId="0" borderId="0" xfId="0" applyNumberFormat="1" applyBorder="1" applyAlignment="1">
      <alignment horizontal="center" vertical="center" wrapText="1"/>
    </xf>
    <xf numFmtId="0" fontId="0" fillId="2" borderId="11" xfId="0" applyFill="1" applyBorder="1"/>
    <xf numFmtId="0" fontId="0" fillId="2" borderId="12" xfId="0" applyFill="1" applyBorder="1"/>
    <xf numFmtId="0" fontId="0" fillId="2" borderId="10" xfId="0" applyFill="1" applyBorder="1"/>
    <xf numFmtId="0" fontId="7" fillId="2" borderId="15" xfId="0" applyFont="1" applyFill="1" applyBorder="1" applyAlignment="1">
      <alignment horizontal="center"/>
    </xf>
    <xf numFmtId="0" fontId="7" fillId="0" borderId="16" xfId="0" applyFont="1" applyBorder="1" applyAlignment="1">
      <alignment horizontal="center" wrapText="1"/>
    </xf>
    <xf numFmtId="0" fontId="7" fillId="0" borderId="7" xfId="0" applyFont="1" applyBorder="1"/>
    <xf numFmtId="0" fontId="0" fillId="2" borderId="7" xfId="0" applyFill="1" applyBorder="1" applyAlignment="1">
      <alignment horizontal="right"/>
    </xf>
    <xf numFmtId="0" fontId="0" fillId="2" borderId="1" xfId="0" applyFill="1" applyBorder="1" applyAlignment="1">
      <alignment horizontal="right"/>
    </xf>
    <xf numFmtId="0" fontId="0" fillId="2" borderId="3" xfId="0" applyFill="1" applyBorder="1" applyAlignment="1">
      <alignment horizontal="right"/>
    </xf>
    <xf numFmtId="0" fontId="0" fillId="2" borderId="4" xfId="0" applyFill="1" applyBorder="1"/>
    <xf numFmtId="0" fontId="0" fillId="0" borderId="0" xfId="0" applyAlignment="1">
      <alignment vertical="top" textRotation="90"/>
    </xf>
    <xf numFmtId="0" fontId="10" fillId="0" borderId="0" xfId="0" applyFont="1"/>
    <xf numFmtId="0" fontId="0" fillId="0" borderId="18" xfId="0" applyBorder="1"/>
    <xf numFmtId="0" fontId="0" fillId="0" borderId="19" xfId="0" applyBorder="1"/>
    <xf numFmtId="0" fontId="0" fillId="0" borderId="6" xfId="0" applyBorder="1"/>
    <xf numFmtId="0" fontId="10" fillId="0" borderId="18" xfId="0" applyFont="1" applyBorder="1" applyProtection="1">
      <protection locked="0"/>
    </xf>
    <xf numFmtId="0" fontId="0" fillId="0" borderId="18" xfId="0" applyBorder="1" applyProtection="1">
      <protection locked="0"/>
    </xf>
    <xf numFmtId="0" fontId="10" fillId="0" borderId="18" xfId="0" applyFont="1" applyBorder="1" applyProtection="1"/>
    <xf numFmtId="0" fontId="10" fillId="0" borderId="0" xfId="0" applyFont="1" applyProtection="1"/>
    <xf numFmtId="0" fontId="0" fillId="0" borderId="0" xfId="0" applyProtection="1"/>
    <xf numFmtId="0" fontId="0" fillId="0" borderId="18" xfId="0" applyBorder="1" applyProtection="1"/>
    <xf numFmtId="0" fontId="0" fillId="0" borderId="20" xfId="0" applyBorder="1" applyProtection="1"/>
    <xf numFmtId="0" fontId="0" fillId="0" borderId="21" xfId="0" applyBorder="1" applyProtection="1"/>
    <xf numFmtId="0" fontId="0" fillId="0" borderId="0" xfId="0" applyBorder="1" applyProtection="1"/>
    <xf numFmtId="0" fontId="0" fillId="0" borderId="17" xfId="0" applyBorder="1" applyProtection="1"/>
    <xf numFmtId="0" fontId="0" fillId="0" borderId="8" xfId="0" applyBorder="1" applyProtection="1"/>
    <xf numFmtId="0" fontId="0" fillId="0" borderId="0" xfId="0" applyBorder="1" applyAlignment="1" applyProtection="1">
      <alignment horizontal="centerContinuous"/>
      <protection hidden="1"/>
    </xf>
    <xf numFmtId="0" fontId="0" fillId="0" borderId="0" xfId="0" applyBorder="1" applyAlignment="1">
      <alignment horizontal="centerContinuous"/>
    </xf>
    <xf numFmtId="167" fontId="0" fillId="0" borderId="13" xfId="0" applyNumberFormat="1" applyBorder="1" applyProtection="1">
      <protection locked="0"/>
    </xf>
    <xf numFmtId="0" fontId="0" fillId="0" borderId="0" xfId="0" applyBorder="1" applyAlignment="1">
      <alignment horizontal="center"/>
    </xf>
    <xf numFmtId="0" fontId="0" fillId="0" borderId="0" xfId="0" applyBorder="1"/>
    <xf numFmtId="0" fontId="8" fillId="0" borderId="18" xfId="0" applyFont="1" applyBorder="1" applyProtection="1"/>
    <xf numFmtId="0" fontId="12" fillId="0" borderId="18" xfId="0" applyFont="1" applyBorder="1" applyProtection="1"/>
    <xf numFmtId="167" fontId="13" fillId="0" borderId="16" xfId="0" applyNumberFormat="1" applyFont="1" applyBorder="1" applyAlignment="1">
      <alignment horizontal="center" wrapText="1"/>
    </xf>
    <xf numFmtId="166" fontId="13" fillId="0" borderId="16" xfId="0" applyNumberFormat="1" applyFont="1" applyBorder="1" applyAlignment="1">
      <alignment horizontal="center" vertical="center" wrapText="1"/>
    </xf>
    <xf numFmtId="0" fontId="13" fillId="0" borderId="17" xfId="0" applyFont="1" applyBorder="1" applyAlignment="1">
      <alignment horizontal="center" vertical="center"/>
    </xf>
    <xf numFmtId="0" fontId="14" fillId="0" borderId="16" xfId="0" applyFont="1" applyBorder="1" applyAlignment="1">
      <alignment horizontal="center" vertical="center" wrapText="1"/>
    </xf>
    <xf numFmtId="167" fontId="13" fillId="0" borderId="7" xfId="0" applyNumberFormat="1" applyFont="1" applyBorder="1"/>
    <xf numFmtId="165" fontId="13" fillId="0" borderId="7" xfId="0" applyNumberFormat="1" applyFont="1" applyBorder="1" applyAlignment="1">
      <alignment horizontal="center" vertical="center" wrapText="1"/>
    </xf>
    <xf numFmtId="0" fontId="13" fillId="0" borderId="18" xfId="0" applyFont="1" applyBorder="1" applyAlignment="1">
      <alignment horizontal="center" vertical="center"/>
    </xf>
    <xf numFmtId="0" fontId="14" fillId="0" borderId="7" xfId="0" applyFont="1" applyBorder="1" applyAlignment="1">
      <alignment horizontal="center" vertical="center" wrapText="1"/>
    </xf>
    <xf numFmtId="0" fontId="13" fillId="0" borderId="16" xfId="0" applyFont="1" applyBorder="1" applyAlignment="1">
      <alignment horizontal="center" vertical="center"/>
    </xf>
    <xf numFmtId="167" fontId="15" fillId="0" borderId="16" xfId="0" applyNumberFormat="1" applyFont="1" applyBorder="1" applyAlignment="1">
      <alignment horizontal="center" vertical="center"/>
    </xf>
    <xf numFmtId="18" fontId="15" fillId="0" borderId="16" xfId="0" applyNumberFormat="1" applyFont="1" applyBorder="1" applyAlignment="1">
      <alignment horizontal="center" vertical="center" wrapText="1"/>
    </xf>
    <xf numFmtId="0" fontId="15" fillId="0" borderId="16" xfId="0" applyFont="1" applyBorder="1" applyAlignment="1">
      <alignment horizontal="center" vertical="center" wrapText="1"/>
    </xf>
    <xf numFmtId="167" fontId="12" fillId="0" borderId="0" xfId="0" applyNumberFormat="1" applyFont="1" applyAlignment="1">
      <alignment vertical="top"/>
    </xf>
    <xf numFmtId="0" fontId="9" fillId="0" borderId="0" xfId="0" applyFont="1" applyAlignment="1">
      <alignment horizontal="left" vertical="center"/>
    </xf>
    <xf numFmtId="0" fontId="10" fillId="0" borderId="0" xfId="0" applyFont="1" applyAlignment="1">
      <alignment horizontal="left" vertical="center" wrapText="1"/>
    </xf>
    <xf numFmtId="0" fontId="11" fillId="0" borderId="0" xfId="0" applyFont="1" applyAlignment="1">
      <alignment horizontal="center" vertical="justify"/>
    </xf>
    <xf numFmtId="0" fontId="10" fillId="0" borderId="0" xfId="0" applyFont="1" applyBorder="1" applyAlignment="1" applyProtection="1">
      <alignment horizontal="right"/>
    </xf>
    <xf numFmtId="0" fontId="0" fillId="2" borderId="25" xfId="0" applyFill="1" applyBorder="1" applyAlignment="1">
      <alignment horizontal="right"/>
    </xf>
    <xf numFmtId="0" fontId="10" fillId="0" borderId="5" xfId="0" applyFont="1" applyBorder="1" applyProtection="1"/>
    <xf numFmtId="0" fontId="10" fillId="0" borderId="0" xfId="0" applyFont="1" applyBorder="1" applyAlignment="1" applyProtection="1">
      <alignment horizontal="left"/>
    </xf>
    <xf numFmtId="0" fontId="10" fillId="0" borderId="0" xfId="0" applyFont="1" applyAlignment="1" applyProtection="1"/>
    <xf numFmtId="0" fontId="5" fillId="2" borderId="3" xfId="0" applyFont="1" applyFill="1" applyBorder="1" applyAlignment="1">
      <alignment horizontal="right"/>
    </xf>
    <xf numFmtId="0" fontId="10" fillId="0" borderId="0" xfId="0" quotePrefix="1" applyFont="1" applyAlignment="1">
      <alignment horizontal="right" vertical="center"/>
    </xf>
    <xf numFmtId="0" fontId="10" fillId="0" borderId="0" xfId="0" applyFont="1" applyAlignment="1">
      <alignment vertical="center"/>
    </xf>
    <xf numFmtId="167" fontId="0" fillId="0" borderId="26" xfId="0" applyNumberFormat="1" applyBorder="1" applyProtection="1">
      <protection locked="0"/>
    </xf>
    <xf numFmtId="0" fontId="24" fillId="0" borderId="18" xfId="0" applyFont="1" applyBorder="1" applyProtection="1"/>
    <xf numFmtId="0" fontId="10" fillId="0" borderId="22" xfId="0" applyFont="1" applyBorder="1"/>
    <xf numFmtId="0" fontId="14" fillId="0" borderId="16" xfId="0" applyFont="1" applyBorder="1" applyAlignment="1">
      <alignment horizontal="center" vertical="top" wrapText="1"/>
    </xf>
    <xf numFmtId="0" fontId="6" fillId="0" borderId="0" xfId="0" applyFont="1" applyBorder="1" applyAlignment="1" applyProtection="1">
      <alignment wrapText="1"/>
    </xf>
    <xf numFmtId="0" fontId="10" fillId="0" borderId="0" xfId="0" applyFont="1" applyBorder="1"/>
    <xf numFmtId="0" fontId="10" fillId="0" borderId="0" xfId="0" applyFont="1" applyBorder="1" applyProtection="1"/>
    <xf numFmtId="168" fontId="10" fillId="0" borderId="0" xfId="0" applyNumberFormat="1" applyFont="1" applyBorder="1" applyAlignment="1">
      <alignment horizontal="center"/>
    </xf>
    <xf numFmtId="0" fontId="10" fillId="0" borderId="0" xfId="0" applyFont="1" applyBorder="1" applyAlignment="1">
      <alignment horizontal="center"/>
    </xf>
    <xf numFmtId="0" fontId="7" fillId="0" borderId="18" xfId="0" applyFont="1" applyFill="1" applyBorder="1" applyAlignment="1">
      <alignment horizontal="center" wrapText="1"/>
    </xf>
    <xf numFmtId="169" fontId="7" fillId="0" borderId="18" xfId="0" applyNumberFormat="1" applyFont="1" applyFill="1" applyBorder="1" applyAlignment="1">
      <alignment horizontal="left" wrapText="1"/>
    </xf>
    <xf numFmtId="168" fontId="10" fillId="0" borderId="18" xfId="0" applyNumberFormat="1" applyFont="1" applyBorder="1" applyAlignment="1">
      <alignment horizontal="center"/>
    </xf>
    <xf numFmtId="18" fontId="23" fillId="0" borderId="0" xfId="0" applyNumberFormat="1" applyFont="1" applyBorder="1" applyAlignment="1">
      <alignment horizontal="center" wrapText="1"/>
    </xf>
    <xf numFmtId="0" fontId="0" fillId="0" borderId="18" xfId="0" applyBorder="1" applyAlignment="1" applyProtection="1">
      <alignment horizontal="left"/>
    </xf>
    <xf numFmtId="169" fontId="12" fillId="0" borderId="18" xfId="0" applyNumberFormat="1" applyFont="1" applyBorder="1" applyAlignment="1" applyProtection="1">
      <alignment horizontal="center"/>
    </xf>
    <xf numFmtId="169" fontId="10" fillId="0" borderId="18" xfId="0" applyNumberFormat="1" applyFont="1" applyBorder="1" applyAlignment="1" applyProtection="1">
      <alignment horizontal="center"/>
    </xf>
    <xf numFmtId="0" fontId="10" fillId="0" borderId="0" xfId="0" applyNumberFormat="1" applyFont="1" applyBorder="1" applyAlignment="1" applyProtection="1">
      <alignment horizontal="left" vertical="center"/>
    </xf>
    <xf numFmtId="169" fontId="10" fillId="0" borderId="0" xfId="0" applyNumberFormat="1" applyFont="1" applyBorder="1" applyAlignment="1" applyProtection="1">
      <alignment horizontal="left" vertical="center"/>
    </xf>
    <xf numFmtId="0" fontId="9" fillId="0" borderId="0" xfId="0" applyFont="1" applyBorder="1" applyAlignment="1">
      <alignment horizontal="center" wrapText="1"/>
    </xf>
    <xf numFmtId="0" fontId="28" fillId="2" borderId="12" xfId="0" applyFont="1" applyFill="1" applyBorder="1"/>
    <xf numFmtId="0" fontId="28" fillId="2" borderId="10" xfId="0" applyFont="1" applyFill="1" applyBorder="1"/>
    <xf numFmtId="167" fontId="0" fillId="0" borderId="22" xfId="0" applyNumberFormat="1" applyBorder="1" applyProtection="1">
      <protection locked="0"/>
    </xf>
    <xf numFmtId="0" fontId="13" fillId="0" borderId="18" xfId="0" applyFont="1" applyBorder="1" applyProtection="1">
      <protection locked="0"/>
    </xf>
    <xf numFmtId="49" fontId="13" fillId="0" borderId="18" xfId="0" applyNumberFormat="1" applyFont="1" applyBorder="1" applyAlignment="1" applyProtection="1">
      <alignment horizontal="center"/>
      <protection locked="0"/>
    </xf>
    <xf numFmtId="49" fontId="13" fillId="0" borderId="8" xfId="0" applyNumberFormat="1" applyFont="1" applyBorder="1" applyAlignment="1" applyProtection="1">
      <alignment horizontal="center"/>
      <protection locked="0"/>
    </xf>
    <xf numFmtId="0" fontId="13" fillId="0" borderId="2" xfId="0" applyFont="1" applyBorder="1" applyProtection="1">
      <protection locked="0"/>
    </xf>
    <xf numFmtId="0" fontId="13" fillId="0" borderId="5" xfId="0" applyFont="1" applyBorder="1" applyAlignment="1"/>
    <xf numFmtId="0" fontId="13" fillId="0" borderId="10" xfId="0" applyFont="1" applyBorder="1" applyAlignment="1"/>
    <xf numFmtId="0" fontId="29" fillId="0" borderId="0" xfId="0" applyFont="1"/>
    <xf numFmtId="0" fontId="0" fillId="0" borderId="0" xfId="0" applyFont="1"/>
    <xf numFmtId="0" fontId="7" fillId="2" borderId="15" xfId="0" applyFont="1" applyFill="1" applyBorder="1" applyAlignment="1">
      <alignment horizontal="center" vertical="center" wrapText="1"/>
    </xf>
    <xf numFmtId="0" fontId="5" fillId="0" borderId="14" xfId="0" applyFont="1" applyBorder="1" applyProtection="1">
      <protection locked="0"/>
    </xf>
    <xf numFmtId="49" fontId="5" fillId="0" borderId="14" xfId="0" applyNumberFormat="1" applyFont="1" applyBorder="1" applyAlignment="1" applyProtection="1">
      <alignment horizontal="center"/>
      <protection locked="0"/>
    </xf>
    <xf numFmtId="49" fontId="5" fillId="0" borderId="4" xfId="0" applyNumberFormat="1" applyFont="1" applyBorder="1" applyAlignment="1" applyProtection="1">
      <alignment horizontal="center"/>
      <protection locked="0"/>
    </xf>
    <xf numFmtId="0" fontId="14" fillId="0" borderId="7" xfId="0" applyFont="1" applyBorder="1" applyAlignment="1">
      <alignment horizontal="center" wrapText="1"/>
    </xf>
    <xf numFmtId="15" fontId="30" fillId="0" borderId="4" xfId="0" applyNumberFormat="1" applyFont="1" applyBorder="1" applyProtection="1">
      <protection locked="0"/>
    </xf>
    <xf numFmtId="1" fontId="30" fillId="0" borderId="4" xfId="0" applyNumberFormat="1" applyFont="1" applyBorder="1" applyProtection="1">
      <protection locked="0"/>
    </xf>
    <xf numFmtId="0" fontId="30" fillId="0" borderId="9" xfId="0" applyFont="1" applyBorder="1" applyAlignment="1"/>
    <xf numFmtId="15" fontId="30" fillId="0" borderId="23" xfId="0" applyNumberFormat="1" applyFont="1" applyBorder="1" applyProtection="1">
      <protection locked="0"/>
    </xf>
    <xf numFmtId="20" fontId="30" fillId="0" borderId="8" xfId="0" applyNumberFormat="1" applyFont="1" applyBorder="1" applyProtection="1">
      <protection locked="0"/>
    </xf>
    <xf numFmtId="49" fontId="30" fillId="0" borderId="14" xfId="0" applyNumberFormat="1" applyFont="1" applyBorder="1" applyAlignment="1" applyProtection="1">
      <alignment horizontal="center"/>
      <protection locked="0"/>
    </xf>
    <xf numFmtId="49" fontId="30" fillId="0" borderId="4" xfId="0" applyNumberFormat="1" applyFont="1" applyBorder="1" applyAlignment="1" applyProtection="1">
      <alignment horizontal="center"/>
      <protection locked="0"/>
    </xf>
    <xf numFmtId="0" fontId="28" fillId="0" borderId="27" xfId="0" applyFont="1" applyBorder="1" applyProtection="1">
      <protection locked="0"/>
    </xf>
    <xf numFmtId="49" fontId="28" fillId="0" borderId="27" xfId="0" applyNumberFormat="1" applyFont="1" applyBorder="1" applyAlignment="1" applyProtection="1">
      <alignment horizontal="center"/>
      <protection locked="0"/>
    </xf>
    <xf numFmtId="49" fontId="28" fillId="0" borderId="24" xfId="0" applyNumberFormat="1" applyFont="1" applyBorder="1" applyAlignment="1" applyProtection="1">
      <alignment horizontal="center"/>
      <protection locked="0"/>
    </xf>
    <xf numFmtId="0" fontId="10" fillId="0" borderId="0" xfId="0" applyFont="1" applyAlignment="1">
      <alignment horizontal="center"/>
    </xf>
    <xf numFmtId="0" fontId="29" fillId="0" borderId="0" xfId="0" applyFont="1" applyAlignment="1">
      <alignment horizontal="right"/>
    </xf>
    <xf numFmtId="0" fontId="0" fillId="2" borderId="9" xfId="0" applyFill="1" applyBorder="1" applyAlignment="1">
      <alignment horizontal="center"/>
    </xf>
    <xf numFmtId="0" fontId="0" fillId="2" borderId="5" xfId="0" applyFill="1" applyBorder="1" applyAlignment="1">
      <alignment horizontal="center"/>
    </xf>
    <xf numFmtId="0" fontId="0" fillId="2" borderId="10" xfId="0" applyFill="1" applyBorder="1" applyAlignment="1">
      <alignment horizontal="center"/>
    </xf>
    <xf numFmtId="0" fontId="10" fillId="0" borderId="18" xfId="0" applyFont="1" applyBorder="1" applyAlignment="1"/>
    <xf numFmtId="0" fontId="6" fillId="0" borderId="0" xfId="0" applyFont="1" applyBorder="1" applyAlignment="1" applyProtection="1">
      <alignment horizontal="center" wrapText="1"/>
    </xf>
    <xf numFmtId="0" fontId="10" fillId="0" borderId="0" xfId="0" applyFont="1" applyAlignment="1">
      <alignment horizontal="center" vertical="center"/>
    </xf>
    <xf numFmtId="0" fontId="10" fillId="0" borderId="0" xfId="0" applyFont="1" applyAlignment="1">
      <alignment horizontal="right" vertical="center"/>
    </xf>
    <xf numFmtId="0" fontId="6" fillId="0" borderId="0" xfId="0" applyFont="1" applyBorder="1" applyAlignment="1" applyProtection="1">
      <alignment horizontal="center" vertical="top" wrapText="1"/>
    </xf>
    <xf numFmtId="168" fontId="10" fillId="0" borderId="0" xfId="0" applyNumberFormat="1" applyFont="1" applyBorder="1" applyAlignment="1">
      <alignment horizontal="left" vertical="center"/>
    </xf>
    <xf numFmtId="0" fontId="0" fillId="0" borderId="0" xfId="0" applyAlignment="1">
      <alignment horizontal="left" vertical="top"/>
    </xf>
    <xf numFmtId="0" fontId="10" fillId="0" borderId="18" xfId="0" applyFont="1" applyBorder="1" applyAlignment="1" applyProtection="1">
      <alignment horizontal="left"/>
    </xf>
    <xf numFmtId="0" fontId="21" fillId="0" borderId="18" xfId="0" applyFont="1" applyBorder="1" applyAlignment="1">
      <alignment horizontal="center" vertical="center"/>
    </xf>
    <xf numFmtId="167" fontId="12" fillId="0" borderId="20" xfId="0" applyNumberFormat="1" applyFont="1" applyBorder="1" applyAlignment="1">
      <alignment horizontal="center" vertical="center"/>
    </xf>
    <xf numFmtId="0" fontId="10" fillId="0" borderId="0" xfId="0" applyFont="1" applyAlignment="1">
      <alignment horizontal="center" vertical="center" wrapText="1"/>
    </xf>
    <xf numFmtId="0" fontId="10" fillId="0" borderId="0" xfId="0" applyFont="1" applyAlignment="1" applyProtection="1">
      <alignment horizontal="right" vertical="center"/>
    </xf>
    <xf numFmtId="0" fontId="6" fillId="0" borderId="20" xfId="0" applyFont="1" applyBorder="1" applyAlignment="1">
      <alignment horizontal="center" vertical="top"/>
    </xf>
    <xf numFmtId="0" fontId="9" fillId="0" borderId="0" xfId="0" applyFont="1" applyAlignment="1">
      <alignment horizontal="center"/>
    </xf>
    <xf numFmtId="18" fontId="23" fillId="0" borderId="18" xfId="0" applyNumberFormat="1" applyFont="1" applyBorder="1" applyAlignment="1">
      <alignment horizontal="center" wrapText="1"/>
    </xf>
    <xf numFmtId="0" fontId="19" fillId="0" borderId="0" xfId="0" applyFont="1" applyAlignment="1">
      <alignment horizontal="center" vertical="top"/>
    </xf>
    <xf numFmtId="0" fontId="19" fillId="0" borderId="0" xfId="0" applyFont="1" applyAlignment="1">
      <alignment horizontal="center"/>
    </xf>
    <xf numFmtId="0" fontId="10" fillId="0" borderId="0" xfId="0" applyFont="1" applyAlignment="1">
      <alignment horizontal="center"/>
    </xf>
    <xf numFmtId="0" fontId="0" fillId="0" borderId="18" xfId="0" applyBorder="1" applyAlignment="1">
      <alignment horizontal="center"/>
    </xf>
    <xf numFmtId="0" fontId="10" fillId="0" borderId="18" xfId="0" applyFont="1" applyBorder="1" applyAlignment="1">
      <alignment horizontal="center"/>
    </xf>
    <xf numFmtId="0" fontId="15" fillId="0" borderId="16" xfId="0" applyFont="1" applyBorder="1" applyAlignment="1">
      <alignment horizontal="center" vertical="center" wrapText="1"/>
    </xf>
    <xf numFmtId="0" fontId="15" fillId="0" borderId="28" xfId="0" applyFont="1" applyBorder="1" applyAlignment="1">
      <alignment horizontal="center" vertical="center" wrapText="1"/>
    </xf>
    <xf numFmtId="0" fontId="15" fillId="0" borderId="7" xfId="0" applyFont="1" applyBorder="1" applyAlignment="1">
      <alignment horizontal="center" vertical="center" wrapText="1"/>
    </xf>
  </cellXfs>
  <cellStyles count="342">
    <cellStyle name="Followed Hyperlink" xfId="138" builtinId="9" hidden="1"/>
    <cellStyle name="Followed Hyperlink" xfId="142" builtinId="9" hidden="1"/>
    <cellStyle name="Followed Hyperlink" xfId="146" builtinId="9" hidden="1"/>
    <cellStyle name="Followed Hyperlink" xfId="150" builtinId="9" hidden="1"/>
    <cellStyle name="Followed Hyperlink" xfId="154" builtinId="9" hidden="1"/>
    <cellStyle name="Followed Hyperlink" xfId="158" builtinId="9" hidden="1"/>
    <cellStyle name="Followed Hyperlink" xfId="162" builtinId="9" hidden="1"/>
    <cellStyle name="Followed Hyperlink" xfId="166" builtinId="9" hidden="1"/>
    <cellStyle name="Followed Hyperlink" xfId="170" builtinId="9" hidden="1"/>
    <cellStyle name="Followed Hyperlink" xfId="174" builtinId="9" hidden="1"/>
    <cellStyle name="Followed Hyperlink" xfId="178" builtinId="9" hidden="1"/>
    <cellStyle name="Followed Hyperlink" xfId="182" builtinId="9" hidden="1"/>
    <cellStyle name="Followed Hyperlink" xfId="186" builtinId="9" hidden="1"/>
    <cellStyle name="Followed Hyperlink" xfId="190" builtinId="9" hidden="1"/>
    <cellStyle name="Followed Hyperlink" xfId="194" builtinId="9" hidden="1"/>
    <cellStyle name="Followed Hyperlink" xfId="198" builtinId="9" hidden="1"/>
    <cellStyle name="Followed Hyperlink" xfId="202" builtinId="9" hidden="1"/>
    <cellStyle name="Followed Hyperlink" xfId="206" builtinId="9" hidden="1"/>
    <cellStyle name="Followed Hyperlink" xfId="210" builtinId="9" hidden="1"/>
    <cellStyle name="Followed Hyperlink" xfId="214" builtinId="9" hidden="1"/>
    <cellStyle name="Followed Hyperlink" xfId="218" builtinId="9" hidden="1"/>
    <cellStyle name="Followed Hyperlink" xfId="222" builtinId="9" hidden="1"/>
    <cellStyle name="Followed Hyperlink" xfId="226" builtinId="9" hidden="1"/>
    <cellStyle name="Followed Hyperlink" xfId="230" builtinId="9" hidden="1"/>
    <cellStyle name="Followed Hyperlink" xfId="234" builtinId="9" hidden="1"/>
    <cellStyle name="Followed Hyperlink" xfId="238" builtinId="9" hidden="1"/>
    <cellStyle name="Followed Hyperlink" xfId="242" builtinId="9" hidden="1"/>
    <cellStyle name="Followed Hyperlink" xfId="246" builtinId="9" hidden="1"/>
    <cellStyle name="Followed Hyperlink" xfId="250" builtinId="9" hidden="1"/>
    <cellStyle name="Followed Hyperlink" xfId="254" builtinId="9" hidden="1"/>
    <cellStyle name="Followed Hyperlink" xfId="258" builtinId="9" hidden="1"/>
    <cellStyle name="Followed Hyperlink" xfId="262" builtinId="9" hidden="1"/>
    <cellStyle name="Followed Hyperlink" xfId="266" builtinId="9" hidden="1"/>
    <cellStyle name="Followed Hyperlink" xfId="270" builtinId="9" hidden="1"/>
    <cellStyle name="Followed Hyperlink" xfId="274" builtinId="9" hidden="1"/>
    <cellStyle name="Followed Hyperlink" xfId="278" builtinId="9" hidden="1"/>
    <cellStyle name="Followed Hyperlink" xfId="289" builtinId="9" hidden="1"/>
    <cellStyle name="Followed Hyperlink" xfId="297" builtinId="9" hidden="1"/>
    <cellStyle name="Followed Hyperlink" xfId="305" builtinId="9" hidden="1"/>
    <cellStyle name="Followed Hyperlink" xfId="313" builtinId="9" hidden="1"/>
    <cellStyle name="Followed Hyperlink" xfId="321" builtinId="9" hidden="1"/>
    <cellStyle name="Followed Hyperlink" xfId="329" builtinId="9" hidden="1"/>
    <cellStyle name="Followed Hyperlink" xfId="337" builtinId="9" hidden="1"/>
    <cellStyle name="Followed Hyperlink" xfId="339" builtinId="9" hidden="1"/>
    <cellStyle name="Followed Hyperlink" xfId="331" builtinId="9" hidden="1"/>
    <cellStyle name="Followed Hyperlink" xfId="323" builtinId="9" hidden="1"/>
    <cellStyle name="Followed Hyperlink" xfId="315" builtinId="9" hidden="1"/>
    <cellStyle name="Followed Hyperlink" xfId="307" builtinId="9" hidden="1"/>
    <cellStyle name="Followed Hyperlink" xfId="299" builtinId="9" hidden="1"/>
    <cellStyle name="Followed Hyperlink" xfId="291" builtinId="9" hidden="1"/>
    <cellStyle name="Followed Hyperlink" xfId="279" builtinId="9" hidden="1"/>
    <cellStyle name="Followed Hyperlink" xfId="275" builtinId="9" hidden="1"/>
    <cellStyle name="Followed Hyperlink" xfId="271" builtinId="9" hidden="1"/>
    <cellStyle name="Followed Hyperlink" xfId="267" builtinId="9" hidden="1"/>
    <cellStyle name="Followed Hyperlink" xfId="263" builtinId="9" hidden="1"/>
    <cellStyle name="Followed Hyperlink" xfId="259" builtinId="9" hidden="1"/>
    <cellStyle name="Followed Hyperlink" xfId="255" builtinId="9" hidden="1"/>
    <cellStyle name="Followed Hyperlink" xfId="251" builtinId="9" hidden="1"/>
    <cellStyle name="Followed Hyperlink" xfId="247" builtinId="9" hidden="1"/>
    <cellStyle name="Followed Hyperlink" xfId="243" builtinId="9" hidden="1"/>
    <cellStyle name="Followed Hyperlink" xfId="239" builtinId="9" hidden="1"/>
    <cellStyle name="Followed Hyperlink" xfId="235" builtinId="9" hidden="1"/>
    <cellStyle name="Followed Hyperlink" xfId="231" builtinId="9" hidden="1"/>
    <cellStyle name="Followed Hyperlink" xfId="227" builtinId="9" hidden="1"/>
    <cellStyle name="Followed Hyperlink" xfId="223" builtinId="9" hidden="1"/>
    <cellStyle name="Followed Hyperlink" xfId="219" builtinId="9" hidden="1"/>
    <cellStyle name="Followed Hyperlink" xfId="215" builtinId="9" hidden="1"/>
    <cellStyle name="Followed Hyperlink" xfId="211" builtinId="9" hidden="1"/>
    <cellStyle name="Followed Hyperlink" xfId="207" builtinId="9" hidden="1"/>
    <cellStyle name="Followed Hyperlink" xfId="203" builtinId="9" hidden="1"/>
    <cellStyle name="Followed Hyperlink" xfId="199" builtinId="9" hidden="1"/>
    <cellStyle name="Followed Hyperlink" xfId="195" builtinId="9" hidden="1"/>
    <cellStyle name="Followed Hyperlink" xfId="191" builtinId="9" hidden="1"/>
    <cellStyle name="Followed Hyperlink" xfId="187" builtinId="9" hidden="1"/>
    <cellStyle name="Followed Hyperlink" xfId="183" builtinId="9" hidden="1"/>
    <cellStyle name="Followed Hyperlink" xfId="179" builtinId="9" hidden="1"/>
    <cellStyle name="Followed Hyperlink" xfId="175" builtinId="9" hidden="1"/>
    <cellStyle name="Followed Hyperlink" xfId="171" builtinId="9" hidden="1"/>
    <cellStyle name="Followed Hyperlink" xfId="167" builtinId="9" hidden="1"/>
    <cellStyle name="Followed Hyperlink" xfId="163" builtinId="9" hidden="1"/>
    <cellStyle name="Followed Hyperlink" xfId="159" builtinId="9" hidden="1"/>
    <cellStyle name="Followed Hyperlink" xfId="155" builtinId="9" hidden="1"/>
    <cellStyle name="Followed Hyperlink" xfId="151" builtinId="9" hidden="1"/>
    <cellStyle name="Followed Hyperlink" xfId="147" builtinId="9" hidden="1"/>
    <cellStyle name="Followed Hyperlink" xfId="143" builtinId="9" hidden="1"/>
    <cellStyle name="Followed Hyperlink" xfId="139" builtinId="9" hidden="1"/>
    <cellStyle name="Followed Hyperlink" xfId="135" builtinId="9" hidden="1"/>
    <cellStyle name="Followed Hyperlink" xfId="131" builtinId="9" hidden="1"/>
    <cellStyle name="Followed Hyperlink" xfId="127" builtinId="9" hidden="1"/>
    <cellStyle name="Followed Hyperlink" xfId="123" builtinId="9" hidden="1"/>
    <cellStyle name="Followed Hyperlink" xfId="119" builtinId="9" hidden="1"/>
    <cellStyle name="Followed Hyperlink" xfId="115" builtinId="9" hidden="1"/>
    <cellStyle name="Followed Hyperlink" xfId="111" builtinId="9" hidden="1"/>
    <cellStyle name="Followed Hyperlink" xfId="107" builtinId="9" hidden="1"/>
    <cellStyle name="Followed Hyperlink" xfId="103" builtinId="9" hidden="1"/>
    <cellStyle name="Followed Hyperlink" xfId="99" builtinId="9" hidden="1"/>
    <cellStyle name="Followed Hyperlink" xfId="95" builtinId="9" hidden="1"/>
    <cellStyle name="Followed Hyperlink" xfId="91" builtinId="9" hidden="1"/>
    <cellStyle name="Followed Hyperlink" xfId="87" builtinId="9" hidden="1"/>
    <cellStyle name="Followed Hyperlink" xfId="83" builtinId="9" hidden="1"/>
    <cellStyle name="Followed Hyperlink" xfId="79" builtinId="9" hidden="1"/>
    <cellStyle name="Followed Hyperlink" xfId="74" builtinId="9" hidden="1"/>
    <cellStyle name="Followed Hyperlink" xfId="66" builtinId="9" hidden="1"/>
    <cellStyle name="Followed Hyperlink" xfId="26" builtinId="9" hidden="1"/>
    <cellStyle name="Followed Hyperlink" xfId="32" builtinId="9" hidden="1"/>
    <cellStyle name="Followed Hyperlink" xfId="36" builtinId="9" hidden="1"/>
    <cellStyle name="Followed Hyperlink" xfId="42" builtinId="9" hidden="1"/>
    <cellStyle name="Followed Hyperlink" xfId="48" builtinId="9" hidden="1"/>
    <cellStyle name="Followed Hyperlink" xfId="52" builtinId="9" hidden="1"/>
    <cellStyle name="Followed Hyperlink" xfId="58" builtinId="9" hidden="1"/>
    <cellStyle name="Followed Hyperlink" xfId="64" builtinId="9" hidden="1"/>
    <cellStyle name="Followed Hyperlink" xfId="54" builtinId="9" hidden="1"/>
    <cellStyle name="Followed Hyperlink" xfId="38" builtinId="9" hidden="1"/>
    <cellStyle name="Followed Hyperlink" xfId="22" builtinId="9" hidden="1"/>
    <cellStyle name="Followed Hyperlink" xfId="12" builtinId="9" hidden="1"/>
    <cellStyle name="Followed Hyperlink" xfId="18" builtinId="9" hidden="1"/>
    <cellStyle name="Followed Hyperlink" xfId="14" builtinId="9" hidden="1"/>
    <cellStyle name="Followed Hyperlink" xfId="8" builtinId="9" hidden="1"/>
    <cellStyle name="Followed Hyperlink" xfId="2" builtinId="9" hidden="1"/>
    <cellStyle name="Followed Hyperlink" xfId="4" builtinId="9" hidden="1"/>
    <cellStyle name="Followed Hyperlink" xfId="6" builtinId="9" hidden="1"/>
    <cellStyle name="Followed Hyperlink" xfId="20" builtinId="9" hidden="1"/>
    <cellStyle name="Followed Hyperlink" xfId="16" builtinId="9" hidden="1"/>
    <cellStyle name="Followed Hyperlink" xfId="10" builtinId="9" hidden="1"/>
    <cellStyle name="Followed Hyperlink" xfId="30" builtinId="9" hidden="1"/>
    <cellStyle name="Followed Hyperlink" xfId="46" builtinId="9" hidden="1"/>
    <cellStyle name="Followed Hyperlink" xfId="62" builtinId="9" hidden="1"/>
    <cellStyle name="Followed Hyperlink" xfId="60" builtinId="9" hidden="1"/>
    <cellStyle name="Followed Hyperlink" xfId="56" builtinId="9" hidden="1"/>
    <cellStyle name="Followed Hyperlink" xfId="50" builtinId="9" hidden="1"/>
    <cellStyle name="Followed Hyperlink" xfId="44" builtinId="9" hidden="1"/>
    <cellStyle name="Followed Hyperlink" xfId="40" builtinId="9" hidden="1"/>
    <cellStyle name="Followed Hyperlink" xfId="34" builtinId="9" hidden="1"/>
    <cellStyle name="Followed Hyperlink" xfId="28" builtinId="9" hidden="1"/>
    <cellStyle name="Followed Hyperlink" xfId="24" builtinId="9" hidden="1"/>
    <cellStyle name="Followed Hyperlink" xfId="70" builtinId="9" hidden="1"/>
    <cellStyle name="Followed Hyperlink" xfId="77" builtinId="9" hidden="1"/>
    <cellStyle name="Followed Hyperlink" xfId="81" builtinId="9" hidden="1"/>
    <cellStyle name="Followed Hyperlink" xfId="85" builtinId="9" hidden="1"/>
    <cellStyle name="Followed Hyperlink" xfId="89" builtinId="9" hidden="1"/>
    <cellStyle name="Followed Hyperlink" xfId="93" builtinId="9" hidden="1"/>
    <cellStyle name="Followed Hyperlink" xfId="97" builtinId="9" hidden="1"/>
    <cellStyle name="Followed Hyperlink" xfId="101" builtinId="9" hidden="1"/>
    <cellStyle name="Followed Hyperlink" xfId="105" builtinId="9" hidden="1"/>
    <cellStyle name="Followed Hyperlink" xfId="109" builtinId="9" hidden="1"/>
    <cellStyle name="Followed Hyperlink" xfId="113" builtinId="9" hidden="1"/>
    <cellStyle name="Followed Hyperlink" xfId="117" builtinId="9" hidden="1"/>
    <cellStyle name="Followed Hyperlink" xfId="121" builtinId="9" hidden="1"/>
    <cellStyle name="Followed Hyperlink" xfId="125" builtinId="9" hidden="1"/>
    <cellStyle name="Followed Hyperlink" xfId="129" builtinId="9" hidden="1"/>
    <cellStyle name="Followed Hyperlink" xfId="133" builtinId="9" hidden="1"/>
    <cellStyle name="Followed Hyperlink" xfId="137" builtinId="9" hidden="1"/>
    <cellStyle name="Followed Hyperlink" xfId="141" builtinId="9" hidden="1"/>
    <cellStyle name="Followed Hyperlink" xfId="145" builtinId="9" hidden="1"/>
    <cellStyle name="Followed Hyperlink" xfId="149" builtinId="9" hidden="1"/>
    <cellStyle name="Followed Hyperlink" xfId="153" builtinId="9" hidden="1"/>
    <cellStyle name="Followed Hyperlink" xfId="157" builtinId="9" hidden="1"/>
    <cellStyle name="Followed Hyperlink" xfId="161" builtinId="9" hidden="1"/>
    <cellStyle name="Followed Hyperlink" xfId="165" builtinId="9" hidden="1"/>
    <cellStyle name="Followed Hyperlink" xfId="169" builtinId="9" hidden="1"/>
    <cellStyle name="Followed Hyperlink" xfId="173" builtinId="9" hidden="1"/>
    <cellStyle name="Followed Hyperlink" xfId="177" builtinId="9" hidden="1"/>
    <cellStyle name="Followed Hyperlink" xfId="181" builtinId="9" hidden="1"/>
    <cellStyle name="Followed Hyperlink" xfId="185" builtinId="9" hidden="1"/>
    <cellStyle name="Followed Hyperlink" xfId="189" builtinId="9" hidden="1"/>
    <cellStyle name="Followed Hyperlink" xfId="193" builtinId="9" hidden="1"/>
    <cellStyle name="Followed Hyperlink" xfId="197" builtinId="9" hidden="1"/>
    <cellStyle name="Followed Hyperlink" xfId="201" builtinId="9" hidden="1"/>
    <cellStyle name="Followed Hyperlink" xfId="205" builtinId="9" hidden="1"/>
    <cellStyle name="Followed Hyperlink" xfId="209" builtinId="9" hidden="1"/>
    <cellStyle name="Followed Hyperlink" xfId="213" builtinId="9" hidden="1"/>
    <cellStyle name="Followed Hyperlink" xfId="217" builtinId="9" hidden="1"/>
    <cellStyle name="Followed Hyperlink" xfId="221" builtinId="9" hidden="1"/>
    <cellStyle name="Followed Hyperlink" xfId="225" builtinId="9" hidden="1"/>
    <cellStyle name="Followed Hyperlink" xfId="229" builtinId="9" hidden="1"/>
    <cellStyle name="Followed Hyperlink" xfId="233" builtinId="9" hidden="1"/>
    <cellStyle name="Followed Hyperlink" xfId="237" builtinId="9" hidden="1"/>
    <cellStyle name="Followed Hyperlink" xfId="241" builtinId="9" hidden="1"/>
    <cellStyle name="Followed Hyperlink" xfId="245" builtinId="9" hidden="1"/>
    <cellStyle name="Followed Hyperlink" xfId="249" builtinId="9" hidden="1"/>
    <cellStyle name="Followed Hyperlink" xfId="253" builtinId="9" hidden="1"/>
    <cellStyle name="Followed Hyperlink" xfId="257" builtinId="9" hidden="1"/>
    <cellStyle name="Followed Hyperlink" xfId="261" builtinId="9" hidden="1"/>
    <cellStyle name="Followed Hyperlink" xfId="265" builtinId="9" hidden="1"/>
    <cellStyle name="Followed Hyperlink" xfId="269" builtinId="9" hidden="1"/>
    <cellStyle name="Followed Hyperlink" xfId="273" builtinId="9" hidden="1"/>
    <cellStyle name="Followed Hyperlink" xfId="277" builtinId="9" hidden="1"/>
    <cellStyle name="Followed Hyperlink" xfId="281" builtinId="9" hidden="1"/>
    <cellStyle name="Followed Hyperlink" xfId="295" builtinId="9" hidden="1"/>
    <cellStyle name="Followed Hyperlink" xfId="303" builtinId="9" hidden="1"/>
    <cellStyle name="Followed Hyperlink" xfId="311" builtinId="9" hidden="1"/>
    <cellStyle name="Followed Hyperlink" xfId="319" builtinId="9" hidden="1"/>
    <cellStyle name="Followed Hyperlink" xfId="327" builtinId="9" hidden="1"/>
    <cellStyle name="Followed Hyperlink" xfId="335" builtinId="9" hidden="1"/>
    <cellStyle name="Followed Hyperlink" xfId="341" builtinId="9" hidden="1"/>
    <cellStyle name="Followed Hyperlink" xfId="333" builtinId="9" hidden="1"/>
    <cellStyle name="Followed Hyperlink" xfId="325" builtinId="9" hidden="1"/>
    <cellStyle name="Followed Hyperlink" xfId="317" builtinId="9" hidden="1"/>
    <cellStyle name="Followed Hyperlink" xfId="309" builtinId="9" hidden="1"/>
    <cellStyle name="Followed Hyperlink" xfId="301" builtinId="9" hidden="1"/>
    <cellStyle name="Followed Hyperlink" xfId="293" builtinId="9" hidden="1"/>
    <cellStyle name="Followed Hyperlink" xfId="280" builtinId="9" hidden="1"/>
    <cellStyle name="Followed Hyperlink" xfId="276" builtinId="9" hidden="1"/>
    <cellStyle name="Followed Hyperlink" xfId="272" builtinId="9" hidden="1"/>
    <cellStyle name="Followed Hyperlink" xfId="268" builtinId="9" hidden="1"/>
    <cellStyle name="Followed Hyperlink" xfId="264" builtinId="9" hidden="1"/>
    <cellStyle name="Followed Hyperlink" xfId="260" builtinId="9" hidden="1"/>
    <cellStyle name="Followed Hyperlink" xfId="256" builtinId="9" hidden="1"/>
    <cellStyle name="Followed Hyperlink" xfId="252" builtinId="9" hidden="1"/>
    <cellStyle name="Followed Hyperlink" xfId="248" builtinId="9" hidden="1"/>
    <cellStyle name="Followed Hyperlink" xfId="244" builtinId="9" hidden="1"/>
    <cellStyle name="Followed Hyperlink" xfId="240" builtinId="9" hidden="1"/>
    <cellStyle name="Followed Hyperlink" xfId="236" builtinId="9" hidden="1"/>
    <cellStyle name="Followed Hyperlink" xfId="232" builtinId="9" hidden="1"/>
    <cellStyle name="Followed Hyperlink" xfId="228" builtinId="9" hidden="1"/>
    <cellStyle name="Followed Hyperlink" xfId="224" builtinId="9" hidden="1"/>
    <cellStyle name="Followed Hyperlink" xfId="220" builtinId="9" hidden="1"/>
    <cellStyle name="Followed Hyperlink" xfId="216" builtinId="9" hidden="1"/>
    <cellStyle name="Followed Hyperlink" xfId="212" builtinId="9" hidden="1"/>
    <cellStyle name="Followed Hyperlink" xfId="208" builtinId="9" hidden="1"/>
    <cellStyle name="Followed Hyperlink" xfId="204" builtinId="9" hidden="1"/>
    <cellStyle name="Followed Hyperlink" xfId="200" builtinId="9" hidden="1"/>
    <cellStyle name="Followed Hyperlink" xfId="196" builtinId="9" hidden="1"/>
    <cellStyle name="Followed Hyperlink" xfId="192" builtinId="9" hidden="1"/>
    <cellStyle name="Followed Hyperlink" xfId="188" builtinId="9" hidden="1"/>
    <cellStyle name="Followed Hyperlink" xfId="184" builtinId="9" hidden="1"/>
    <cellStyle name="Followed Hyperlink" xfId="180" builtinId="9" hidden="1"/>
    <cellStyle name="Followed Hyperlink" xfId="176" builtinId="9" hidden="1"/>
    <cellStyle name="Followed Hyperlink" xfId="172" builtinId="9" hidden="1"/>
    <cellStyle name="Followed Hyperlink" xfId="168" builtinId="9" hidden="1"/>
    <cellStyle name="Followed Hyperlink" xfId="164" builtinId="9" hidden="1"/>
    <cellStyle name="Followed Hyperlink" xfId="160" builtinId="9" hidden="1"/>
    <cellStyle name="Followed Hyperlink" xfId="156" builtinId="9" hidden="1"/>
    <cellStyle name="Followed Hyperlink" xfId="152" builtinId="9" hidden="1"/>
    <cellStyle name="Followed Hyperlink" xfId="148" builtinId="9" hidden="1"/>
    <cellStyle name="Followed Hyperlink" xfId="144" builtinId="9" hidden="1"/>
    <cellStyle name="Followed Hyperlink" xfId="140" builtinId="9" hidden="1"/>
    <cellStyle name="Followed Hyperlink" xfId="136" builtinId="9" hidden="1"/>
    <cellStyle name="Followed Hyperlink" xfId="94" builtinId="9" hidden="1"/>
    <cellStyle name="Followed Hyperlink" xfId="96" builtinId="9" hidden="1"/>
    <cellStyle name="Followed Hyperlink" xfId="98" builtinId="9" hidden="1"/>
    <cellStyle name="Followed Hyperlink" xfId="102" builtinId="9" hidden="1"/>
    <cellStyle name="Followed Hyperlink" xfId="104" builtinId="9" hidden="1"/>
    <cellStyle name="Followed Hyperlink" xfId="106" builtinId="9" hidden="1"/>
    <cellStyle name="Followed Hyperlink" xfId="110" builtinId="9" hidden="1"/>
    <cellStyle name="Followed Hyperlink" xfId="112" builtinId="9" hidden="1"/>
    <cellStyle name="Followed Hyperlink" xfId="114" builtinId="9" hidden="1"/>
    <cellStyle name="Followed Hyperlink" xfId="118" builtinId="9" hidden="1"/>
    <cellStyle name="Followed Hyperlink" xfId="120" builtinId="9" hidden="1"/>
    <cellStyle name="Followed Hyperlink" xfId="122" builtinId="9" hidden="1"/>
    <cellStyle name="Followed Hyperlink" xfId="126" builtinId="9" hidden="1"/>
    <cellStyle name="Followed Hyperlink" xfId="128" builtinId="9" hidden="1"/>
    <cellStyle name="Followed Hyperlink" xfId="130" builtinId="9" hidden="1"/>
    <cellStyle name="Followed Hyperlink" xfId="134" builtinId="9" hidden="1"/>
    <cellStyle name="Followed Hyperlink" xfId="132" builtinId="9" hidden="1"/>
    <cellStyle name="Followed Hyperlink" xfId="124" builtinId="9" hidden="1"/>
    <cellStyle name="Followed Hyperlink" xfId="116" builtinId="9" hidden="1"/>
    <cellStyle name="Followed Hyperlink" xfId="108" builtinId="9" hidden="1"/>
    <cellStyle name="Followed Hyperlink" xfId="100" builtinId="9" hidden="1"/>
    <cellStyle name="Followed Hyperlink" xfId="92" builtinId="9" hidden="1"/>
    <cellStyle name="Followed Hyperlink" xfId="80" builtinId="9" hidden="1"/>
    <cellStyle name="Followed Hyperlink" xfId="82" builtinId="9" hidden="1"/>
    <cellStyle name="Followed Hyperlink" xfId="86" builtinId="9" hidden="1"/>
    <cellStyle name="Followed Hyperlink" xfId="88" builtinId="9" hidden="1"/>
    <cellStyle name="Followed Hyperlink" xfId="90" builtinId="9" hidden="1"/>
    <cellStyle name="Followed Hyperlink" xfId="84" builtinId="9" hidden="1"/>
    <cellStyle name="Followed Hyperlink" xfId="76" builtinId="9" hidden="1"/>
    <cellStyle name="Followed Hyperlink" xfId="78" builtinId="9" hidden="1"/>
    <cellStyle name="Followed Hyperlink" xfId="72" builtinId="9" hidden="1"/>
    <cellStyle name="Followed Hyperlink" xfId="68" builtinId="9" hidden="1"/>
    <cellStyle name="Hyperlink" xfId="53" builtinId="8" hidden="1"/>
    <cellStyle name="Hyperlink" xfId="19" builtinId="8" hidden="1"/>
    <cellStyle name="Hyperlink" xfId="23" builtinId="8" hidden="1"/>
    <cellStyle name="Hyperlink" xfId="25" builtinId="8" hidden="1"/>
    <cellStyle name="Hyperlink" xfId="27" builtinId="8" hidden="1"/>
    <cellStyle name="Hyperlink" xfId="29" builtinId="8" hidden="1"/>
    <cellStyle name="Hyperlink" xfId="33" builtinId="8" hidden="1"/>
    <cellStyle name="Hyperlink" xfId="35" builtinId="8" hidden="1"/>
    <cellStyle name="Hyperlink" xfId="37" builtinId="8" hidden="1"/>
    <cellStyle name="Hyperlink" xfId="39" builtinId="8" hidden="1"/>
    <cellStyle name="Hyperlink" xfId="21" builtinId="8" hidden="1"/>
    <cellStyle name="Hyperlink" xfId="9" builtinId="8" hidden="1"/>
    <cellStyle name="Hyperlink" xfId="11" builtinId="8" hidden="1"/>
    <cellStyle name="Hyperlink" xfId="15" builtinId="8" hidden="1"/>
    <cellStyle name="Hyperlink" xfId="17" builtinId="8" hidden="1"/>
    <cellStyle name="Hyperlink" xfId="5" builtinId="8" hidden="1"/>
    <cellStyle name="Hyperlink" xfId="7" builtinId="8" hidden="1"/>
    <cellStyle name="Hyperlink" xfId="3" builtinId="8" hidden="1"/>
    <cellStyle name="Hyperlink" xfId="1" builtinId="8" hidden="1"/>
    <cellStyle name="Hyperlink" xfId="13" builtinId="8" hidden="1"/>
    <cellStyle name="Hyperlink" xfId="31" builtinId="8" hidden="1"/>
    <cellStyle name="Hyperlink" xfId="312"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288" builtinId="8" hidden="1"/>
    <cellStyle name="Hyperlink" xfId="290" builtinId="8" hidden="1"/>
    <cellStyle name="Hyperlink" xfId="292" builtinId="8" hidden="1"/>
    <cellStyle name="Hyperlink" xfId="294" builtinId="8" hidden="1"/>
    <cellStyle name="Hyperlink" xfId="296" builtinId="8" hidden="1"/>
    <cellStyle name="Hyperlink" xfId="298" builtinId="8" hidden="1"/>
    <cellStyle name="Hyperlink" xfId="51" builtinId="8" hidden="1"/>
    <cellStyle name="Hyperlink" xfId="320" builtinId="8" hidden="1"/>
    <cellStyle name="Hyperlink" xfId="324" builtinId="8" hidden="1"/>
    <cellStyle name="Hyperlink" xfId="326" builtinId="8" hidden="1"/>
    <cellStyle name="Hyperlink" xfId="330" builtinId="8" hidden="1"/>
    <cellStyle name="Hyperlink" xfId="332" builtinId="8" hidden="1"/>
    <cellStyle name="Hyperlink" xfId="334" builtinId="8" hidden="1"/>
    <cellStyle name="Hyperlink" xfId="336" builtinId="8" hidden="1"/>
    <cellStyle name="Hyperlink" xfId="338" builtinId="8" hidden="1"/>
    <cellStyle name="Hyperlink" xfId="340" builtinId="8" hidden="1"/>
    <cellStyle name="Hyperlink" xfId="328" builtinId="8" hidden="1"/>
    <cellStyle name="Hyperlink" xfId="322" builtinId="8" hidden="1"/>
    <cellStyle name="Hyperlink" xfId="308" builtinId="8" hidden="1"/>
    <cellStyle name="Hyperlink" xfId="310" builtinId="8" hidden="1"/>
    <cellStyle name="Hyperlink" xfId="314" builtinId="8" hidden="1"/>
    <cellStyle name="Hyperlink" xfId="316" builtinId="8" hidden="1"/>
    <cellStyle name="Hyperlink" xfId="318" builtinId="8" hidden="1"/>
    <cellStyle name="Hyperlink" xfId="304" builtinId="8" hidden="1"/>
    <cellStyle name="Hyperlink" xfId="306" builtinId="8" hidden="1"/>
    <cellStyle name="Hyperlink" xfId="302" builtinId="8" hidden="1"/>
    <cellStyle name="Hyperlink" xfId="300" builtinId="8" hidden="1"/>
    <cellStyle name="Normal" xfId="0" builtinId="0"/>
    <cellStyle name="Normal 2" xfId="282" xr:uid="{00000000-0005-0000-0000-000050010000}"/>
    <cellStyle name="Normal 3" xfId="283" xr:uid="{00000000-0005-0000-0000-000051010000}"/>
    <cellStyle name="Normal 3 2" xfId="285" xr:uid="{00000000-0005-0000-0000-000052010000}"/>
    <cellStyle name="Normal 3 2 2" xfId="286" xr:uid="{00000000-0005-0000-0000-000053010000}"/>
    <cellStyle name="Normal 3 2 3" xfId="287" xr:uid="{00000000-0005-0000-0000-000054010000}"/>
    <cellStyle name="Normal 4" xfId="284" xr:uid="{00000000-0005-0000-0000-000055010000}"/>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660400</xdr:colOff>
      <xdr:row>1</xdr:row>
      <xdr:rowOff>224693</xdr:rowOff>
    </xdr:from>
    <xdr:to>
      <xdr:col>11</xdr:col>
      <xdr:colOff>406400</xdr:colOff>
      <xdr:row>4</xdr:row>
      <xdr:rowOff>388202</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a:stretch>
          <a:fillRect/>
        </a:stretch>
      </xdr:blipFill>
      <xdr:spPr>
        <a:xfrm>
          <a:off x="11113477" y="485206"/>
          <a:ext cx="1992923" cy="156660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660400</xdr:colOff>
      <xdr:row>1</xdr:row>
      <xdr:rowOff>224693</xdr:rowOff>
    </xdr:from>
    <xdr:to>
      <xdr:col>11</xdr:col>
      <xdr:colOff>406400</xdr:colOff>
      <xdr:row>5</xdr:row>
      <xdr:rowOff>275</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11099800" y="465993"/>
          <a:ext cx="2006600" cy="156628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32"/>
  <sheetViews>
    <sheetView showGridLines="0" topLeftCell="B1" zoomScale="135" zoomScaleNormal="135" zoomScalePageLayoutView="135" workbookViewId="0">
      <selection activeCell="I12" sqref="I12"/>
    </sheetView>
  </sheetViews>
  <sheetFormatPr defaultColWidth="8.77734375" defaultRowHeight="13.2" x14ac:dyDescent="0.25"/>
  <cols>
    <col min="1" max="1" width="16.44140625" style="2" customWidth="1"/>
    <col min="2" max="2" width="9.77734375" bestFit="1" customWidth="1"/>
    <col min="3" max="3" width="0" style="3" hidden="1" customWidth="1"/>
    <col min="4" max="4" width="8.33203125" customWidth="1"/>
    <col min="5" max="5" width="17" bestFit="1" customWidth="1"/>
    <col min="6" max="6" width="18" bestFit="1" customWidth="1"/>
    <col min="7" max="7" width="22.109375" bestFit="1" customWidth="1"/>
    <col min="8" max="8" width="25.109375" bestFit="1" customWidth="1"/>
    <col min="9" max="11" width="31.109375" customWidth="1"/>
    <col min="12" max="12" width="17.33203125" hidden="1" customWidth="1"/>
    <col min="13" max="15" width="17.77734375" hidden="1" customWidth="1"/>
  </cols>
  <sheetData>
    <row r="1" spans="1:23" ht="18" x14ac:dyDescent="0.35">
      <c r="A1" s="13" t="s">
        <v>0</v>
      </c>
      <c r="B1" s="88">
        <v>200</v>
      </c>
      <c r="C1">
        <f>IF(Brevet_Length&gt;=1200,Brevet_Length,IF(Brevet_Length&gt;=1000,1000,IF(Brevet_Length&gt;=600,600,IF(Brevet_Length&gt;=400,400,IF(Brevet_Length&gt;=300,300,IF(Brevet_Length&gt;=200,200,100))))))</f>
        <v>200</v>
      </c>
      <c r="J1" s="109" t="s">
        <v>1</v>
      </c>
      <c r="K1" s="109"/>
      <c r="Q1" s="91" t="s">
        <v>2</v>
      </c>
      <c r="R1" s="91"/>
      <c r="S1" s="91"/>
      <c r="T1" s="91"/>
      <c r="U1" s="91"/>
      <c r="V1" s="91"/>
      <c r="W1" s="91"/>
    </row>
    <row r="2" spans="1:23" ht="13.8" thickBot="1" x14ac:dyDescent="0.3">
      <c r="A2" s="14" t="s">
        <v>3</v>
      </c>
      <c r="B2" s="15">
        <f>IF(brevet=1200,90,IF(brevet=1000,75,IF(brevet=600,40,IF(brevet=400,27,IF(brevet=300,20,IF(brevet=200,13.5,IF(brevet=100,7,0)))))))</f>
        <v>13.5</v>
      </c>
      <c r="Q2" t="s">
        <v>4</v>
      </c>
    </row>
    <row r="3" spans="1:23" ht="18.600000000000001" thickBot="1" x14ac:dyDescent="0.4">
      <c r="A3" s="14" t="s">
        <v>5</v>
      </c>
      <c r="B3" s="100" t="s">
        <v>81</v>
      </c>
      <c r="C3" s="89"/>
      <c r="D3" s="89"/>
      <c r="E3" s="89"/>
      <c r="F3" s="89"/>
      <c r="G3" s="89"/>
      <c r="H3" s="90"/>
      <c r="I3" s="35"/>
      <c r="J3" s="35"/>
      <c r="K3" s="35"/>
      <c r="O3" s="36"/>
      <c r="P3" s="36"/>
      <c r="Q3" s="91" t="s">
        <v>6</v>
      </c>
    </row>
    <row r="4" spans="1:23" ht="15.6" x14ac:dyDescent="0.3">
      <c r="A4" s="14" t="s">
        <v>7</v>
      </c>
      <c r="B4" s="99">
        <v>5079</v>
      </c>
      <c r="C4" s="32"/>
      <c r="F4" s="33"/>
      <c r="G4" s="33"/>
      <c r="H4" s="33"/>
      <c r="I4" s="33"/>
      <c r="J4" s="33"/>
      <c r="K4" s="33"/>
      <c r="Q4" s="91" t="s">
        <v>8</v>
      </c>
    </row>
    <row r="5" spans="1:23" ht="15.6" x14ac:dyDescent="0.3">
      <c r="A5" s="60" t="s">
        <v>9</v>
      </c>
      <c r="B5" s="98">
        <v>44415</v>
      </c>
      <c r="Q5" s="91" t="s">
        <v>10</v>
      </c>
    </row>
    <row r="6" spans="1:23" ht="6" customHeight="1" x14ac:dyDescent="0.25"/>
    <row r="7" spans="1:23" ht="16.2" thickBot="1" x14ac:dyDescent="0.35">
      <c r="A7" s="56" t="s">
        <v>11</v>
      </c>
      <c r="B7" s="101">
        <v>44415</v>
      </c>
      <c r="Q7" s="91" t="s">
        <v>12</v>
      </c>
    </row>
    <row r="8" spans="1:23" ht="16.2" thickBot="1" x14ac:dyDescent="0.35">
      <c r="A8" s="12" t="s">
        <v>13</v>
      </c>
      <c r="B8" s="102">
        <v>0.29166666666666669</v>
      </c>
      <c r="D8" s="110" t="s">
        <v>14</v>
      </c>
      <c r="E8" s="111"/>
      <c r="F8" s="111"/>
      <c r="G8" s="111"/>
      <c r="H8" s="111"/>
      <c r="I8" s="110" t="s">
        <v>15</v>
      </c>
      <c r="J8" s="111"/>
      <c r="K8" s="112"/>
      <c r="Q8" s="91" t="s">
        <v>16</v>
      </c>
    </row>
    <row r="9" spans="1:23" ht="14.4" thickBot="1" x14ac:dyDescent="0.35">
      <c r="D9" s="6" t="s">
        <v>17</v>
      </c>
      <c r="E9" s="7" t="s">
        <v>18</v>
      </c>
      <c r="F9" s="82" t="s">
        <v>19</v>
      </c>
      <c r="G9" s="82" t="s">
        <v>20</v>
      </c>
      <c r="H9" s="83" t="s">
        <v>21</v>
      </c>
      <c r="I9" s="7" t="s">
        <v>22</v>
      </c>
      <c r="J9" s="7" t="s">
        <v>23</v>
      </c>
      <c r="K9" s="8" t="s">
        <v>24</v>
      </c>
      <c r="L9" t="s">
        <v>25</v>
      </c>
      <c r="M9" t="s">
        <v>26</v>
      </c>
      <c r="N9" t="s">
        <v>27</v>
      </c>
      <c r="O9" t="s">
        <v>28</v>
      </c>
      <c r="Q9" s="91" t="s">
        <v>29</v>
      </c>
    </row>
    <row r="10" spans="1:23" ht="16.95" customHeight="1" x14ac:dyDescent="0.3">
      <c r="C10" s="3" t="s">
        <v>30</v>
      </c>
      <c r="D10" s="34">
        <v>0</v>
      </c>
      <c r="E10" s="94" t="s">
        <v>82</v>
      </c>
      <c r="F10" s="95" t="s">
        <v>83</v>
      </c>
      <c r="G10" s="94"/>
      <c r="H10" s="94"/>
      <c r="I10" s="95" t="s">
        <v>98</v>
      </c>
      <c r="J10" s="103"/>
      <c r="K10" s="104"/>
      <c r="L10" s="4">
        <f>Start_date+Start_time</f>
        <v>44415.291666666664</v>
      </c>
      <c r="M10" s="4">
        <f>L10+"1:00"</f>
        <v>44415.333333333328</v>
      </c>
      <c r="N10" s="5">
        <f>IF(ISBLANK(Distance),"",Open Control_1)</f>
        <v>44415.291666666664</v>
      </c>
      <c r="O10" s="5">
        <f>IF(ISBLANK(Distance),"",Close Control_1)</f>
        <v>44415.333333333328</v>
      </c>
      <c r="Q10" s="91" t="s">
        <v>31</v>
      </c>
    </row>
    <row r="11" spans="1:23" ht="16.95" customHeight="1" x14ac:dyDescent="0.3">
      <c r="C11" s="3" t="s">
        <v>32</v>
      </c>
      <c r="D11" s="34">
        <v>32.6</v>
      </c>
      <c r="E11" s="94" t="s">
        <v>85</v>
      </c>
      <c r="F11" s="95" t="s">
        <v>86</v>
      </c>
      <c r="G11" s="95"/>
      <c r="H11" s="96"/>
      <c r="I11" s="95" t="s">
        <v>87</v>
      </c>
      <c r="J11" s="103"/>
      <c r="K11" s="104"/>
      <c r="L11">
        <f>IF(ISBLANK(Distance),"",IF(Distance&gt;1000,(Distance-1000)/26+33.0847,(IF(Distance&gt;600,(Distance-600)/28+18.799,(IF(Distance&gt;400,(Distance-400)/30+12.1324,(IF(Distance&gt;200,(Distance-200)/32+5.8824,Distance/34))))))))</f>
        <v>0.95882352941176474</v>
      </c>
      <c r="M11">
        <f>IF(ISBLANK(Distance),"",IF(Distance&gt;=brevet,IF(brevet&gt;1200,(brevet-1200)*75/1000+90,Max_time),IF(Distance&gt;1200,(Distance-1200)*75/1000+90,IF(Distance&gt;1000,(Distance-1000)/(1000/75)+75,IF(Distance&gt;600,(Distance-600)/(400/35)+40,Distance/15)))))</f>
        <v>2.1733333333333333</v>
      </c>
      <c r="N11" s="5">
        <f>IF(ISBLANK(Distance),"",Open_time Control_1+(INT(Open)&amp;":"&amp;IF(ROUND(((Open-INT(Open))*60),0)&lt;10,0,"")&amp;ROUND(((Open-INT(Open))*60),0)))</f>
        <v>44415.331944444442</v>
      </c>
      <c r="O11" s="5">
        <f>IF(ISBLANK(Distance),"",Open_time Control_1+(INT(Close)&amp;":"&amp;IF(ROUND(((Close-INT(Close))*60),0)&lt;10,0,"")&amp;ROUND(((Close-INT(Close))*60),0)))</f>
        <v>44415.381944444445</v>
      </c>
      <c r="Q11" s="91" t="s">
        <v>33</v>
      </c>
    </row>
    <row r="12" spans="1:23" ht="16.95" customHeight="1" x14ac:dyDescent="0.3">
      <c r="C12" s="3" t="s">
        <v>34</v>
      </c>
      <c r="D12" s="34">
        <v>55.7</v>
      </c>
      <c r="E12" s="94" t="s">
        <v>88</v>
      </c>
      <c r="F12" s="95" t="s">
        <v>89</v>
      </c>
      <c r="G12" s="95"/>
      <c r="H12" s="96"/>
      <c r="I12" s="95" t="s">
        <v>90</v>
      </c>
      <c r="J12" s="103"/>
      <c r="K12" s="104"/>
      <c r="L12">
        <f>IF(ISBLANK(Distance),"",IF(Distance&gt;1000,(Distance-1000)/26+33.0847,(IF(Distance&gt;600,(Distance-600)/28+18.799,(IF(Distance&gt;400,(Distance-400)/30+12.1324,(IF(Distance&gt;200,(Distance-200)/32+5.8824,Distance/34))))))))</f>
        <v>1.6382352941176472</v>
      </c>
      <c r="M12">
        <f t="shared" ref="M12:M19" si="0">IF(ISBLANK(Distance),"",IF(Distance&gt;=brevet,IF(brevet&gt;1200,(brevet-1200)*75/1000+90,Max_time),IF(Distance&gt;1200,(Distance-1200)*75/1000+90,IF(Distance&gt;1000,(Distance-1000)/(1000/75)+75,IF(Distance&gt;600,(Distance-600)/(400/35)+40,Distance/15)))))</f>
        <v>3.7133333333333334</v>
      </c>
      <c r="N12" s="5">
        <f>IF(ISBLANK(Distance),"",Open_time Control_1+(INT(Open)&amp;":"&amp;IF(ROUND(((Open-INT(Open))*60),0)&lt;10,0,"")&amp;ROUND(((Open-INT(Open))*60),0)))</f>
        <v>44415.359722222223</v>
      </c>
      <c r="O12" s="5">
        <f>IF(ISBLANK(Distance),"",Open_time Control_1+(INT(Close)&amp;":"&amp;IF(ROUND(((Close-INT(Close))*60),0)&lt;10,0,"")&amp;ROUND(((Close-INT(Close))*60),0)))</f>
        <v>44415.446527777778</v>
      </c>
    </row>
    <row r="13" spans="1:23" ht="16.95" customHeight="1" x14ac:dyDescent="0.3">
      <c r="C13" s="3" t="s">
        <v>35</v>
      </c>
      <c r="D13" s="34">
        <v>118.6</v>
      </c>
      <c r="E13" s="94" t="s">
        <v>91</v>
      </c>
      <c r="F13" s="95" t="s">
        <v>92</v>
      </c>
      <c r="G13" s="95"/>
      <c r="H13" s="96"/>
      <c r="I13" s="95" t="s">
        <v>93</v>
      </c>
      <c r="J13" s="103"/>
      <c r="K13" s="104"/>
      <c r="L13">
        <f t="shared" ref="L13:L19" si="1">IF(ISBLANK(Distance),"",IF(Distance&gt;1000,(Distance-1000)/26+33.0847,(IF(Distance&gt;600,(Distance-600)/28+18.799,(IF(Distance&gt;400,(Distance-400)/30+12.1324,(IF(Distance&gt;200,(Distance-200)/32+5.8824,Distance/34))))))))</f>
        <v>3.4882352941176471</v>
      </c>
      <c r="M13">
        <f t="shared" si="0"/>
        <v>7.9066666666666663</v>
      </c>
      <c r="N13" s="5">
        <f>IF(ISBLANK(Distance),"",Open_time Control_1+(INT(Open)&amp;":"&amp;IF(ROUND(((Open-INT(Open))*60),0)&lt;10,0,"")&amp;ROUND(((Open-INT(Open))*60),0)))</f>
        <v>44415.436805555553</v>
      </c>
      <c r="O13" s="5">
        <f>IF(ISBLANK(Distance),"",Open_time Control_1+(INT(Close)&amp;":"&amp;IF(ROUND(((Close-INT(Close))*60),0)&lt;10,0,"")&amp;ROUND(((Close-INT(Close))*60),0)))</f>
        <v>44415.620833333334</v>
      </c>
    </row>
    <row r="14" spans="1:23" ht="16.95" customHeight="1" x14ac:dyDescent="0.3">
      <c r="C14" s="3" t="s">
        <v>36</v>
      </c>
      <c r="D14" s="34">
        <v>165.7</v>
      </c>
      <c r="E14" s="94" t="s">
        <v>94</v>
      </c>
      <c r="F14" s="95" t="s">
        <v>95</v>
      </c>
      <c r="G14" s="94"/>
      <c r="H14" s="96"/>
      <c r="I14" s="95" t="s">
        <v>96</v>
      </c>
      <c r="J14" s="103"/>
      <c r="K14" s="104"/>
      <c r="L14">
        <f t="shared" si="1"/>
        <v>4.8735294117647054</v>
      </c>
      <c r="M14">
        <f t="shared" si="0"/>
        <v>11.046666666666665</v>
      </c>
      <c r="N14" s="5">
        <f>IF(ISBLANK(Distance),"",Open_time Control_1+(INT(Open)&amp;":"&amp;IF(ROUND(((Open-INT(Open))*60),0)&lt;10,0,"")&amp;ROUND(((Open-INT(Open))*60),0)))</f>
        <v>44415.494444444441</v>
      </c>
      <c r="O14" s="5">
        <f>IF(ISBLANK(Distance),"",Open_time Control_1+(INT(Close)&amp;":"&amp;IF(ROUND(((Close-INT(Close))*60),0)&lt;10,0,"")&amp;ROUND(((Close-INT(Close))*60),0)))</f>
        <v>44415.752083333333</v>
      </c>
      <c r="Q14" s="92" t="s">
        <v>37</v>
      </c>
    </row>
    <row r="15" spans="1:23" ht="16.95" customHeight="1" x14ac:dyDescent="0.3">
      <c r="C15" s="3" t="s">
        <v>38</v>
      </c>
      <c r="D15" s="34">
        <v>203.7</v>
      </c>
      <c r="E15" s="94" t="s">
        <v>82</v>
      </c>
      <c r="F15" s="95"/>
      <c r="G15" s="95"/>
      <c r="H15" s="96"/>
      <c r="I15" s="95" t="s">
        <v>97</v>
      </c>
      <c r="J15" s="103"/>
      <c r="K15" s="104"/>
      <c r="L15">
        <f t="shared" si="1"/>
        <v>5.9980249999999993</v>
      </c>
      <c r="M15">
        <f t="shared" si="0"/>
        <v>13.5</v>
      </c>
      <c r="N15" s="5">
        <f>IF(ISBLANK(Distance),"",Open_time Control_1+(INT(Open)&amp;":"&amp;IF(ROUND(((Open-INT(Open))*60),0)&lt;10,0,"")&amp;ROUND(((Open-INT(Open))*60),0)))</f>
        <v>44415.541666666664</v>
      </c>
      <c r="O15" s="5">
        <f>IF(ISBLANK(Distance),"",Open_time Control_1+(INT(Close)&amp;":"&amp;IF(ROUND(((Close-INT(Close))*60),0)&lt;10,0,"")&amp;ROUND(((Close-INT(Close))*60),0)))</f>
        <v>44415.854166666664</v>
      </c>
    </row>
    <row r="16" spans="1:23" ht="16.95" customHeight="1" x14ac:dyDescent="0.3">
      <c r="C16" s="3" t="s">
        <v>39</v>
      </c>
      <c r="D16" s="34"/>
      <c r="E16" s="94"/>
      <c r="F16" s="94"/>
      <c r="G16" s="95"/>
      <c r="H16" s="96"/>
      <c r="I16" s="103"/>
      <c r="J16" s="103"/>
      <c r="K16" s="104"/>
      <c r="L16" t="str">
        <f t="shared" si="1"/>
        <v/>
      </c>
      <c r="M16" t="str">
        <f t="shared" si="0"/>
        <v/>
      </c>
      <c r="N16" s="5" t="str">
        <f>IF(ISBLANK(Distance),"",Open_time Control_1+(INT(Open)&amp;":"&amp;IF(ROUND(((Open-INT(Open))*60),0)&lt;10,0,"")&amp;ROUND(((Open-INT(Open))*60),0)))</f>
        <v/>
      </c>
      <c r="O16" s="5" t="str">
        <f>IF(ISBLANK(Distance),"",Open_time Control_1+(INT(Close)&amp;":"&amp;IF(ROUND(((Close-INT(Close))*60),0)&lt;10,0,"")&amp;ROUND(((Close-INT(Close))*60),0)))</f>
        <v/>
      </c>
    </row>
    <row r="17" spans="3:15" ht="16.95" customHeight="1" x14ac:dyDescent="0.3">
      <c r="C17" s="3" t="s">
        <v>40</v>
      </c>
      <c r="D17" s="34"/>
      <c r="E17" s="94"/>
      <c r="F17" s="95"/>
      <c r="G17" s="95"/>
      <c r="H17" s="96"/>
      <c r="I17" s="103"/>
      <c r="J17" s="103"/>
      <c r="K17" s="104"/>
      <c r="L17" t="str">
        <f t="shared" si="1"/>
        <v/>
      </c>
      <c r="M17" t="str">
        <f t="shared" si="0"/>
        <v/>
      </c>
      <c r="N17" s="5" t="str">
        <f>IF(ISBLANK(Distance),"",Open_time Control_1+(INT(Open)&amp;":"&amp;IF(ROUND(((Open-INT(Open))*60),0)&lt;10,0,"")&amp;ROUND(((Open-INT(Open))*60),0)))</f>
        <v/>
      </c>
      <c r="O17" s="5" t="str">
        <f>IF(ISBLANK(Distance),"",Open_time Control_1+(INT(Close)&amp;":"&amp;IF(ROUND(((Close-INT(Close))*60),0)&lt;10,0,"")&amp;ROUND(((Close-INT(Close))*60),0)))</f>
        <v/>
      </c>
    </row>
    <row r="18" spans="3:15" ht="16.95" customHeight="1" x14ac:dyDescent="0.3">
      <c r="C18" s="3" t="s">
        <v>41</v>
      </c>
      <c r="D18" s="34"/>
      <c r="E18" s="94"/>
      <c r="F18" s="95"/>
      <c r="G18" s="95"/>
      <c r="H18" s="96"/>
      <c r="I18" s="103"/>
      <c r="J18" s="103"/>
      <c r="K18" s="104"/>
      <c r="L18" t="str">
        <f t="shared" si="1"/>
        <v/>
      </c>
      <c r="M18" t="str">
        <f t="shared" si="0"/>
        <v/>
      </c>
      <c r="N18" s="5" t="str">
        <f>IF(ISBLANK(Distance),"",Open_time Control_1+(INT(Open)&amp;":"&amp;IF(ROUND(((Open-INT(Open))*60),0)&lt;10,0,"")&amp;ROUND(((Open-INT(Open))*60),0)))</f>
        <v/>
      </c>
      <c r="O18" s="5" t="str">
        <f>IF(ISBLANK(Distance),"",Open_time Control_1+(INT(Close)&amp;":"&amp;IF(ROUND(((Close-INT(Close))*60),0)&lt;10,0,"")&amp;ROUND(((Close-INT(Close))*60),0)))</f>
        <v/>
      </c>
    </row>
    <row r="19" spans="3:15" ht="16.95" customHeight="1" thickBot="1" x14ac:dyDescent="0.35">
      <c r="C19" s="3" t="s">
        <v>42</v>
      </c>
      <c r="D19" s="63"/>
      <c r="E19" s="105"/>
      <c r="F19" s="106"/>
      <c r="G19" s="106"/>
      <c r="H19" s="107"/>
      <c r="I19" s="106"/>
      <c r="J19" s="106"/>
      <c r="K19" s="107"/>
      <c r="L19" t="str">
        <f t="shared" si="1"/>
        <v/>
      </c>
      <c r="M19" t="str">
        <f t="shared" si="0"/>
        <v/>
      </c>
      <c r="N19" s="5" t="str">
        <f>IF(ISBLANK(Distance),"",Open_time Control_1+(INT(Open)&amp;":"&amp;IF(ROUND(((Open-INT(Open))*60),0)&lt;10,0,"")&amp;ROUND(((Open-INT(Open))*60),0)))</f>
        <v/>
      </c>
      <c r="O19" s="5" t="str">
        <f>IF(ISBLANK(Distance),"",Open_time Control_1+(INT(Close)&amp;":"&amp;IF(ROUND(((Close-INT(Close))*60),0)&lt;10,0,"")&amp;ROUND(((Close-INT(Close))*60),0)))</f>
        <v/>
      </c>
    </row>
    <row r="20" spans="3:15" ht="7.05" customHeight="1" thickBot="1" x14ac:dyDescent="0.4">
      <c r="D20" s="84"/>
      <c r="E20" s="85"/>
      <c r="F20" s="86"/>
      <c r="G20" s="86"/>
      <c r="H20" s="86"/>
      <c r="I20" s="86"/>
      <c r="J20" s="86"/>
      <c r="K20" s="87"/>
      <c r="N20" s="5"/>
      <c r="O20" s="5"/>
    </row>
    <row r="21" spans="3:15" ht="13.8" thickBot="1" x14ac:dyDescent="0.3">
      <c r="D21" s="110" t="s">
        <v>43</v>
      </c>
      <c r="E21" s="111"/>
      <c r="F21" s="111"/>
      <c r="G21" s="111"/>
      <c r="H21" s="111"/>
      <c r="I21" s="110" t="s">
        <v>44</v>
      </c>
      <c r="J21" s="111"/>
      <c r="K21" s="112"/>
    </row>
    <row r="22" spans="3:15" ht="14.4" thickBot="1" x14ac:dyDescent="0.35">
      <c r="D22" s="6" t="s">
        <v>17</v>
      </c>
      <c r="E22" s="7" t="s">
        <v>18</v>
      </c>
      <c r="F22" s="82" t="s">
        <v>19</v>
      </c>
      <c r="G22" s="82" t="s">
        <v>20</v>
      </c>
      <c r="H22" s="83" t="s">
        <v>21</v>
      </c>
      <c r="I22" s="7" t="s">
        <v>22</v>
      </c>
      <c r="J22" s="7" t="s">
        <v>23</v>
      </c>
      <c r="K22" s="8" t="s">
        <v>24</v>
      </c>
      <c r="L22" t="s">
        <v>25</v>
      </c>
      <c r="M22" t="s">
        <v>26</v>
      </c>
      <c r="N22" t="s">
        <v>27</v>
      </c>
      <c r="O22" t="s">
        <v>28</v>
      </c>
    </row>
    <row r="23" spans="3:15" ht="15.6" x14ac:dyDescent="0.3">
      <c r="D23" s="34">
        <v>0</v>
      </c>
      <c r="E23" s="94" t="s">
        <v>82</v>
      </c>
      <c r="F23" s="95" t="s">
        <v>83</v>
      </c>
      <c r="G23" s="95"/>
      <c r="H23" s="96"/>
      <c r="I23" s="95" t="s">
        <v>84</v>
      </c>
      <c r="J23" s="103"/>
      <c r="K23" s="104"/>
      <c r="L23">
        <f>IF(ISBLANK(D23),"",IF(D23&gt;1000,(D23-1000)/26+33.0847,(IF(D23&gt;600,(D23-600)/28+18.799,(IF(D23&gt;400,(D23-400)/30+12.1324,(IF(D23&gt;200,(D23-200)/32+5.8824,D23/34))))))))</f>
        <v>0</v>
      </c>
      <c r="M23">
        <f>IF(ISBLANK(D23),"",IF(D23=0,(L23+1),IF(D23&gt;=brevet,IF(brevet&gt;1200,(brevet-1200)*75/1000+90,Max_time),IF(D23&gt;1200,(D23-1200)*75/1000+90,IF(D23&gt;1000,(D23-1000)/(1000/75)+75,IF(D23&gt;600,(D23-600)/(400/35)+40,D23/15))))))</f>
        <v>1</v>
      </c>
      <c r="N23" s="5">
        <f>IF(ISBLANK(D23),"",Open_time Control_1+(INT(L23)&amp;":"&amp;IF(ROUND(((L23-INT(L23))*60),0)&lt;10,0,"")&amp;ROUND(((L23-INT(L23))*60),0)))</f>
        <v>44415.291666666664</v>
      </c>
      <c r="O23" s="5">
        <f>IF(ISBLANK(D23),"",Open_time Control_1+(INT(M23)&amp;":"&amp;IF(ROUND(((M23-INT(M23))*60),0)&lt;10,0,"")&amp;ROUND(((M23-INT(M23))*60),0)))</f>
        <v>44415.333333333328</v>
      </c>
    </row>
    <row r="24" spans="3:15" ht="16.95" customHeight="1" x14ac:dyDescent="0.3">
      <c r="D24" s="34">
        <v>32.6</v>
      </c>
      <c r="E24" s="94" t="s">
        <v>85</v>
      </c>
      <c r="F24" s="95" t="s">
        <v>86</v>
      </c>
      <c r="G24" s="95"/>
      <c r="H24" s="96"/>
      <c r="I24" s="95" t="s">
        <v>87</v>
      </c>
      <c r="J24" s="103"/>
      <c r="K24" s="104"/>
      <c r="L24">
        <f t="shared" ref="L24:L32" si="2">IF(ISBLANK(D24),"",IF(D24&gt;1000,(D24-1000)/26+33.0847,(IF(D24&gt;600,(D24-600)/28+18.799,(IF(D24&gt;400,(D24-400)/30+12.1324,(IF(D24&gt;200,(D24-200)/32+5.8824,D24/34))))))))</f>
        <v>0.95882352941176474</v>
      </c>
      <c r="M24">
        <f t="shared" ref="M24:M32" si="3">IF(ISBLANK(D24),"",IF(D24&gt;=brevet,IF(brevet&gt;1200,(brevet-1200)*75/1000+90,Max_time),IF(D24&gt;1200,(D24-1200)*75/1000+90,IF(D24&gt;1000,(D24-1000)/(1000/75)+75,IF(D24&gt;600,(D24-600)/(400/35)+40,D24/15)))))</f>
        <v>2.1733333333333333</v>
      </c>
      <c r="N24" s="5">
        <f>IF(ISBLANK(D24),"",Open_time Control_1+(INT(L24)&amp;":"&amp;IF(ROUND(((L24-INT(L24))*60),0)&lt;10,0,"")&amp;ROUND(((L24-INT(L24))*60),0)))</f>
        <v>44415.331944444442</v>
      </c>
      <c r="O24" s="5">
        <f>IF(ISBLANK(D24),"",Open_time Control_1+(INT(M24)&amp;":"&amp;IF(ROUND(((M24-INT(M24))*60),0)&lt;10,0,"")&amp;ROUND(((M24-INT(M24))*60),0)))</f>
        <v>44415.381944444445</v>
      </c>
    </row>
    <row r="25" spans="3:15" ht="16.95" customHeight="1" x14ac:dyDescent="0.3">
      <c r="D25" s="34">
        <v>55.7</v>
      </c>
      <c r="E25" s="94" t="s">
        <v>88</v>
      </c>
      <c r="F25" s="95" t="s">
        <v>89</v>
      </c>
      <c r="G25" s="95"/>
      <c r="H25" s="96"/>
      <c r="I25" s="95" t="s">
        <v>90</v>
      </c>
      <c r="J25" s="103"/>
      <c r="K25" s="104"/>
      <c r="L25">
        <f t="shared" si="2"/>
        <v>1.6382352941176472</v>
      </c>
      <c r="M25">
        <f t="shared" si="3"/>
        <v>3.7133333333333334</v>
      </c>
      <c r="N25" s="5">
        <f>IF(ISBLANK(D25),"",Open_time Control_1+(INT(L25)&amp;":"&amp;IF(ROUND(((L25-INT(L25))*60),0)&lt;10,0,"")&amp;ROUND(((L25-INT(L25))*60),0)))</f>
        <v>44415.359722222223</v>
      </c>
      <c r="O25" s="5">
        <f>IF(ISBLANK(D25),"",Open_time Control_1+(INT(M25)&amp;":"&amp;IF(ROUND(((M25-INT(M25))*60),0)&lt;10,0,"")&amp;ROUND(((M25-INT(M25))*60),0)))</f>
        <v>44415.446527777778</v>
      </c>
    </row>
    <row r="26" spans="3:15" ht="16.95" customHeight="1" x14ac:dyDescent="0.3">
      <c r="D26" s="34">
        <v>118.6</v>
      </c>
      <c r="E26" s="94" t="s">
        <v>91</v>
      </c>
      <c r="F26" s="95" t="s">
        <v>92</v>
      </c>
      <c r="G26" s="95"/>
      <c r="H26" s="96"/>
      <c r="I26" s="95" t="s">
        <v>93</v>
      </c>
      <c r="J26" s="103"/>
      <c r="K26" s="104"/>
      <c r="L26">
        <f t="shared" si="2"/>
        <v>3.4882352941176471</v>
      </c>
      <c r="M26">
        <f t="shared" si="3"/>
        <v>7.9066666666666663</v>
      </c>
      <c r="N26" s="5">
        <f>IF(ISBLANK(D26),"",Open_time Control_1+(INT(L26)&amp;":"&amp;IF(ROUND(((L26-INT(L26))*60),0)&lt;10,0,"")&amp;ROUND(((L26-INT(L26))*60),0)))</f>
        <v>44415.436805555553</v>
      </c>
      <c r="O26" s="5">
        <f>IF(ISBLANK(D26),"",Open_time Control_1+(INT(M26)&amp;":"&amp;IF(ROUND(((M26-INT(M26))*60),0)&lt;10,0,"")&amp;ROUND(((M26-INT(M26))*60),0)))</f>
        <v>44415.620833333334</v>
      </c>
    </row>
    <row r="27" spans="3:15" ht="16.95" customHeight="1" x14ac:dyDescent="0.3">
      <c r="D27" s="34">
        <v>165.7</v>
      </c>
      <c r="E27" s="94" t="s">
        <v>94</v>
      </c>
      <c r="F27" s="95" t="s">
        <v>95</v>
      </c>
      <c r="G27" s="95"/>
      <c r="H27" s="96"/>
      <c r="I27" s="95" t="s">
        <v>96</v>
      </c>
      <c r="J27" s="103"/>
      <c r="K27" s="104"/>
      <c r="L27">
        <f t="shared" si="2"/>
        <v>4.8735294117647054</v>
      </c>
      <c r="M27">
        <f t="shared" si="3"/>
        <v>11.046666666666665</v>
      </c>
      <c r="N27" s="5">
        <f>IF(ISBLANK(D27),"",Open_time Control_1+(INT(L27)&amp;":"&amp;IF(ROUND(((L27-INT(L27))*60),0)&lt;10,0,"")&amp;ROUND(((L27-INT(L27))*60),0)))</f>
        <v>44415.494444444441</v>
      </c>
      <c r="O27" s="5">
        <f>IF(ISBLANK(D27),"",Open_time Control_1+(INT(M27)&amp;":"&amp;IF(ROUND(((M27-INT(M27))*60),0)&lt;10,0,"")&amp;ROUND(((M27-INT(M27))*60),0)))</f>
        <v>44415.752083333333</v>
      </c>
    </row>
    <row r="28" spans="3:15" ht="16.95" customHeight="1" x14ac:dyDescent="0.3">
      <c r="D28" s="34">
        <v>203.7</v>
      </c>
      <c r="E28" s="94" t="s">
        <v>82</v>
      </c>
      <c r="F28" s="95"/>
      <c r="G28" s="95"/>
      <c r="H28" s="96"/>
      <c r="I28" s="95"/>
      <c r="J28" s="103"/>
      <c r="K28" s="104"/>
      <c r="L28">
        <f t="shared" si="2"/>
        <v>5.9980249999999993</v>
      </c>
      <c r="M28">
        <f t="shared" si="3"/>
        <v>13.5</v>
      </c>
      <c r="N28" s="5">
        <f>IF(ISBLANK(D28),"",Open_time Control_1+(INT(L28)&amp;":"&amp;IF(ROUND(((L28-INT(L28))*60),0)&lt;10,0,"")&amp;ROUND(((L28-INT(L28))*60),0)))</f>
        <v>44415.541666666664</v>
      </c>
      <c r="O28" s="5">
        <f>IF(ISBLANK(D28),"",Open_time Control_1+(INT(M28)&amp;":"&amp;IF(ROUND(((M28-INT(M28))*60),0)&lt;10,0,"")&amp;ROUND(((M28-INT(M28))*60),0)))</f>
        <v>44415.854166666664</v>
      </c>
    </row>
    <row r="29" spans="3:15" ht="16.95" customHeight="1" x14ac:dyDescent="0.3">
      <c r="D29" s="34"/>
      <c r="E29" s="94"/>
      <c r="F29" s="95"/>
      <c r="G29" s="95"/>
      <c r="H29" s="96"/>
      <c r="I29" s="103"/>
      <c r="J29" s="103"/>
      <c r="K29" s="104"/>
      <c r="L29" t="str">
        <f t="shared" si="2"/>
        <v/>
      </c>
      <c r="M29" t="str">
        <f t="shared" si="3"/>
        <v/>
      </c>
      <c r="N29" s="5" t="str">
        <f>IF(ISBLANK(D29),"",Open_time Control_1+(INT(L29)&amp;":"&amp;IF(ROUND(((L29-INT(L29))*60),0)&lt;10,0,"")&amp;ROUND(((L29-INT(L29))*60),0)))</f>
        <v/>
      </c>
      <c r="O29" s="5" t="str">
        <f>IF(ISBLANK(D29),"",Open_time Control_1+(INT(M29)&amp;":"&amp;IF(ROUND(((M29-INT(M29))*60),0)&lt;10,0,"")&amp;ROUND(((M29-INT(M29))*60),0)))</f>
        <v/>
      </c>
    </row>
    <row r="30" spans="3:15" ht="16.95" customHeight="1" x14ac:dyDescent="0.3">
      <c r="D30" s="34"/>
      <c r="E30" s="94"/>
      <c r="F30" s="95"/>
      <c r="G30" s="95"/>
      <c r="H30" s="96"/>
      <c r="I30" s="103"/>
      <c r="J30" s="103"/>
      <c r="K30" s="104"/>
      <c r="L30" t="str">
        <f t="shared" si="2"/>
        <v/>
      </c>
      <c r="M30" t="str">
        <f t="shared" si="3"/>
        <v/>
      </c>
      <c r="N30" s="5" t="str">
        <f>IF(ISBLANK(D30),"",Open_time Control_1+(INT(L30)&amp;":"&amp;IF(ROUND(((L30-INT(L30))*60),0)&lt;10,0,"")&amp;ROUND(((L30-INT(L30))*60),0)))</f>
        <v/>
      </c>
      <c r="O30" s="5" t="str">
        <f>IF(ISBLANK(D30),"",Open_time Control_1+(INT(M30)&amp;":"&amp;IF(ROUND(((M30-INT(M30))*60),0)&lt;10,0,"")&amp;ROUND(((M30-INT(M30))*60),0)))</f>
        <v/>
      </c>
    </row>
    <row r="31" spans="3:15" ht="16.95" customHeight="1" x14ac:dyDescent="0.3">
      <c r="D31" s="34"/>
      <c r="E31" s="94"/>
      <c r="F31" s="95"/>
      <c r="G31" s="95"/>
      <c r="H31" s="96"/>
      <c r="I31" s="103"/>
      <c r="J31" s="103"/>
      <c r="K31" s="104"/>
      <c r="L31" t="str">
        <f t="shared" si="2"/>
        <v/>
      </c>
      <c r="M31" t="str">
        <f t="shared" si="3"/>
        <v/>
      </c>
      <c r="N31" s="5" t="str">
        <f>IF(ISBLANK(D31),"",Open_time Control_1+(INT(L31)&amp;":"&amp;IF(ROUND(((L31-INT(L31))*60),0)&lt;10,0,"")&amp;ROUND(((L31-INT(L31))*60),0)))</f>
        <v/>
      </c>
      <c r="O31" s="5" t="str">
        <f>IF(ISBLANK(D31),"",Open_time Control_1+(INT(M31)&amp;":"&amp;IF(ROUND(((M31-INT(M31))*60),0)&lt;10,0,"")&amp;ROUND(((M31-INT(M31))*60),0)))</f>
        <v/>
      </c>
    </row>
    <row r="32" spans="3:15" ht="16.95" customHeight="1" thickBot="1" x14ac:dyDescent="0.35">
      <c r="D32" s="63"/>
      <c r="E32" s="105"/>
      <c r="F32" s="106"/>
      <c r="G32" s="106"/>
      <c r="H32" s="107"/>
      <c r="I32" s="106"/>
      <c r="J32" s="106"/>
      <c r="K32" s="107"/>
      <c r="L32" t="str">
        <f t="shared" si="2"/>
        <v/>
      </c>
      <c r="M32" t="str">
        <f t="shared" si="3"/>
        <v/>
      </c>
      <c r="N32" s="5" t="str">
        <f>IF(ISBLANK(D32),"",Open_time Control_1+(INT(L32)&amp;":"&amp;IF(ROUND(((L32-INT(L32))*60),0)&lt;10,0,"")&amp;ROUND(((L32-INT(L32))*60),0)))</f>
        <v/>
      </c>
      <c r="O32" s="5" t="str">
        <f>IF(ISBLANK(D32),"",Open_time Control_1+(INT(M32)&amp;":"&amp;IF(ROUND(((M32-INT(M32))*60),0)&lt;10,0,"")&amp;ROUND(((M32-INT(M32))*60),0)))</f>
        <v/>
      </c>
    </row>
  </sheetData>
  <mergeCells count="5">
    <mergeCell ref="J1:K1"/>
    <mergeCell ref="D8:H8"/>
    <mergeCell ref="D21:H21"/>
    <mergeCell ref="I8:K8"/>
    <mergeCell ref="I21:K21"/>
  </mergeCells>
  <phoneticPr fontId="16" type="noConversion"/>
  <pageMargins left="0.75" right="0.75" top="1" bottom="1" header="0.5" footer="0.5"/>
  <pageSetup orientation="portrait" horizontalDpi="4294967292" verticalDpi="4294967292" r:id="rId1"/>
  <headerFooter>
    <oddHeader>&amp;A</oddHeader>
    <oddFooter>Page &amp;P</oddFooter>
  </headerFooter>
  <legacy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V40"/>
  <sheetViews>
    <sheetView showGridLines="0" tabSelected="1" zoomScale="55" zoomScaleNormal="55" zoomScalePageLayoutView="92" workbookViewId="0">
      <selection activeCell="Z11" sqref="Z11"/>
    </sheetView>
  </sheetViews>
  <sheetFormatPr defaultColWidth="8.77734375" defaultRowHeight="13.2" x14ac:dyDescent="0.25"/>
  <cols>
    <col min="1" max="1" width="8.44140625" style="1" customWidth="1"/>
    <col min="2" max="2" width="13.77734375" customWidth="1"/>
    <col min="3" max="3" width="12.44140625" customWidth="1"/>
    <col min="4" max="4" width="18" customWidth="1"/>
    <col min="5" max="5" width="23.77734375" customWidth="1"/>
    <col min="6" max="6" width="42" customWidth="1"/>
    <col min="7" max="7" width="13.44140625" customWidth="1"/>
    <col min="8" max="8" width="8" style="36" customWidth="1"/>
    <col min="9" max="9" width="12" customWidth="1"/>
    <col min="15" max="15" width="11.21875" customWidth="1"/>
    <col min="18" max="19" width="8.77734375" customWidth="1"/>
  </cols>
  <sheetData>
    <row r="1" spans="1:22" ht="21" thickBot="1" x14ac:dyDescent="0.3">
      <c r="A1" s="121" t="s">
        <v>45</v>
      </c>
      <c r="B1" s="121"/>
      <c r="C1" s="121"/>
      <c r="D1" s="121"/>
      <c r="E1" s="121"/>
      <c r="F1" s="121"/>
      <c r="G1" s="121"/>
      <c r="H1" s="35" t="s">
        <v>46</v>
      </c>
    </row>
    <row r="2" spans="1:22" ht="39" customHeight="1" thickBot="1" x14ac:dyDescent="0.35">
      <c r="A2" s="93" t="s">
        <v>47</v>
      </c>
      <c r="B2" s="9" t="s">
        <v>25</v>
      </c>
      <c r="C2" s="9" t="s">
        <v>26</v>
      </c>
      <c r="D2" s="9" t="s">
        <v>18</v>
      </c>
      <c r="E2" s="9" t="s">
        <v>48</v>
      </c>
      <c r="F2" s="9" t="s">
        <v>49</v>
      </c>
      <c r="G2" s="93" t="s">
        <v>50</v>
      </c>
      <c r="H2" s="35" t="s">
        <v>46</v>
      </c>
      <c r="K2" s="119" t="s">
        <v>51</v>
      </c>
      <c r="L2" s="119"/>
      <c r="M2" s="119"/>
      <c r="N2" s="119"/>
      <c r="O2" s="119"/>
      <c r="P2" s="119"/>
      <c r="Q2" s="119"/>
      <c r="R2" s="119"/>
      <c r="S2" s="119"/>
      <c r="T2" s="119"/>
      <c r="U2" s="119"/>
    </row>
    <row r="3" spans="1:22" ht="36" customHeight="1" x14ac:dyDescent="0.7">
      <c r="A3" s="39"/>
      <c r="B3" s="40">
        <f>Control_1 Open_time</f>
        <v>44415.291666666664</v>
      </c>
      <c r="C3" s="40">
        <f>Control_1 Close_time</f>
        <v>44415.333333333328</v>
      </c>
      <c r="D3" s="134" t="str">
        <f>IF(ISBLANK(Locale Control_1),"",Locale Control_1)</f>
        <v>Vancouver, Ross St @ 43rd Ave</v>
      </c>
      <c r="E3" s="42" t="str">
        <f>IF(ISBLANK(Control_1 Establishment_1),"",Control_1 Establishment_1)</f>
        <v>Sign in parking lot, near footpath</v>
      </c>
      <c r="F3" s="42" t="str">
        <f>IF(ISBLANK('Control Entry'!I10),"",'Control Entry'!I10)</f>
        <v>Maximum fine for smoking?</v>
      </c>
      <c r="G3" s="10"/>
      <c r="H3" s="35" t="s">
        <v>46</v>
      </c>
      <c r="K3" s="16"/>
      <c r="O3" s="126" t="s">
        <v>52</v>
      </c>
      <c r="P3" s="126"/>
      <c r="Q3" s="126"/>
      <c r="R3" s="126"/>
      <c r="S3" s="81" t="str">
        <f>IF(ISBLANK('Control Entry'!D23),"","#1")</f>
        <v>#1</v>
      </c>
      <c r="U3" s="52"/>
    </row>
    <row r="4" spans="1:22" ht="36" customHeight="1" x14ac:dyDescent="0.3">
      <c r="A4" s="48">
        <f>IF(ISBLANK(Distance Control_1),"",Control_1 Distance)</f>
        <v>0</v>
      </c>
      <c r="B4" s="49">
        <f>Control_1 Open_time</f>
        <v>44415.291666666664</v>
      </c>
      <c r="C4" s="49">
        <f>Control_1 Close_time</f>
        <v>44415.333333333328</v>
      </c>
      <c r="D4" s="133"/>
      <c r="E4" s="42" t="str">
        <f>IF(ISBLANK(Control_1 Establishment_2),"",Control_1 Establishment_2)</f>
        <v/>
      </c>
      <c r="F4" s="42" t="str">
        <f>IF(ISBLANK('Control Entry'!J10),"",'Control Entry'!J10)</f>
        <v/>
      </c>
      <c r="G4" s="10"/>
      <c r="H4" s="35" t="s">
        <v>46</v>
      </c>
      <c r="K4" s="16"/>
      <c r="M4" s="123" t="str">
        <f>IF(ISBLANK(brevet),"",brevet&amp;" km Randonnée")</f>
        <v>200 km Randonnée</v>
      </c>
      <c r="N4" s="123"/>
      <c r="O4" s="123"/>
      <c r="P4" s="123"/>
      <c r="Q4" s="123"/>
      <c r="R4" s="123"/>
      <c r="S4" s="123"/>
      <c r="T4" s="123"/>
      <c r="U4" s="53"/>
    </row>
    <row r="5" spans="1:22" ht="36" customHeight="1" thickBot="1" x14ac:dyDescent="0.4">
      <c r="A5" s="43"/>
      <c r="B5" s="44">
        <f>Control_1 Open_time</f>
        <v>44415.291666666664</v>
      </c>
      <c r="C5" s="44">
        <f>Control_1 Close_time</f>
        <v>44415.333333333328</v>
      </c>
      <c r="D5" s="135"/>
      <c r="E5" s="46" t="str">
        <f>IF(ISBLANK(Control_1 Establishment_3),"",Control_1 Establishment_3)</f>
        <v/>
      </c>
      <c r="F5" s="97" t="str">
        <f>IF(ISBLANK('Control Entry'!K10),"",'Control Entry'!K10)</f>
        <v/>
      </c>
      <c r="G5" s="11"/>
      <c r="H5" s="35" t="s">
        <v>46</v>
      </c>
      <c r="K5" s="16"/>
      <c r="M5" s="17"/>
      <c r="N5" s="124" t="s">
        <v>53</v>
      </c>
      <c r="O5" s="124"/>
      <c r="P5" s="79">
        <f>IF(ISBLANK(Brevet_Number),"",Brevet_Number)</f>
        <v>5079</v>
      </c>
      <c r="Q5" s="80"/>
      <c r="R5" s="118">
        <f>IF(ISBLANK('Control Entry'!$B5),"",'Control Entry'!$B5)</f>
        <v>44415</v>
      </c>
      <c r="S5" s="118"/>
      <c r="T5" s="118"/>
      <c r="U5" s="118"/>
      <c r="V5" s="54"/>
    </row>
    <row r="6" spans="1:22" ht="36" customHeight="1" x14ac:dyDescent="0.4">
      <c r="A6" s="39"/>
      <c r="B6" s="40">
        <f>Control_2 Open_time</f>
        <v>44415.331944444442</v>
      </c>
      <c r="C6" s="40">
        <f>Control_2 Close_time</f>
        <v>44415.381944444445</v>
      </c>
      <c r="D6" s="134" t="str">
        <f>IF(ISBLANK(Locale Control_2),"",Locale Control_2)</f>
        <v>North Vancouver, Myrtle Park</v>
      </c>
      <c r="E6" s="42" t="str">
        <f>IF(ISBLANK(Control_2 Establishment_1),"",Control_2 Establishment_1)</f>
        <v>Sign on outside wall of washrooms</v>
      </c>
      <c r="F6" s="42" t="str">
        <f>IF(ISBLANK('Control Entry'!I11),"",'Control Entry'!I11)</f>
        <v>"S____   p____ users play at their own risk."</v>
      </c>
      <c r="G6" s="10"/>
      <c r="H6" s="35" t="s">
        <v>46</v>
      </c>
      <c r="K6" s="16"/>
      <c r="L6" s="129" t="str">
        <f>IF(ISBLANK(Brevet_Description),"",Brevet_Description)</f>
        <v>See More than the Seymour Dam</v>
      </c>
      <c r="M6" s="129"/>
      <c r="N6" s="129"/>
      <c r="O6" s="129"/>
      <c r="P6" s="129"/>
      <c r="Q6" s="129"/>
      <c r="R6" s="129"/>
      <c r="S6" s="129"/>
      <c r="T6" s="129"/>
      <c r="U6" s="129"/>
    </row>
    <row r="7" spans="1:22" ht="36" customHeight="1" x14ac:dyDescent="0.3">
      <c r="A7" s="48">
        <f>IF(ISBLANK(Distance Control_2),"",Control_2 Distance)</f>
        <v>32.6</v>
      </c>
      <c r="B7" s="49">
        <f>Control_2 Open_time</f>
        <v>44415.331944444442</v>
      </c>
      <c r="C7" s="49">
        <f>Control_2 Close_time</f>
        <v>44415.381944444445</v>
      </c>
      <c r="D7" s="133"/>
      <c r="E7" s="42" t="str">
        <f>IF(ISBLANK(Control_2 Establishment_2),"",Control_2 Establishment_2)</f>
        <v/>
      </c>
      <c r="F7" s="42" t="str">
        <f>IF(ISBLANK('Control Entry'!J11),"",'Control Entry'!J11)</f>
        <v/>
      </c>
      <c r="G7" s="10"/>
      <c r="H7" s="35" t="s">
        <v>46</v>
      </c>
    </row>
    <row r="8" spans="1:22" ht="36" customHeight="1" thickBot="1" x14ac:dyDescent="0.4">
      <c r="A8" s="43"/>
      <c r="B8" s="44">
        <f>Control_2 Open_time</f>
        <v>44415.331944444442</v>
      </c>
      <c r="C8" s="44">
        <f>Control_2 Close_time</f>
        <v>44415.381944444445</v>
      </c>
      <c r="D8" s="135"/>
      <c r="E8" s="46" t="str">
        <f>IF(ISBLANK(Control_2 Establishment_3),"",Control_2 Establishment_3)</f>
        <v/>
      </c>
      <c r="F8" s="46" t="str">
        <f>IF(ISBLANK('Control Entry'!K11),"",'Control Entry'!K11)</f>
        <v/>
      </c>
      <c r="G8" s="11"/>
      <c r="H8" s="35" t="s">
        <v>46</v>
      </c>
      <c r="J8" s="17" t="s">
        <v>54</v>
      </c>
      <c r="L8" s="120"/>
      <c r="M8" s="120"/>
      <c r="N8" s="120"/>
      <c r="O8" s="120"/>
      <c r="P8" s="120"/>
      <c r="Q8" s="120"/>
      <c r="R8" s="36"/>
      <c r="S8" s="55" t="s">
        <v>55</v>
      </c>
      <c r="T8" s="113"/>
      <c r="U8" s="113"/>
    </row>
    <row r="9" spans="1:22" ht="36" customHeight="1" thickBot="1" x14ac:dyDescent="0.5">
      <c r="A9" s="39"/>
      <c r="B9" s="40">
        <f>Control_3 Open_time</f>
        <v>44415.359722222223</v>
      </c>
      <c r="C9" s="40">
        <f>Control_3 Close_time</f>
        <v>44415.446527777778</v>
      </c>
      <c r="D9" s="134" t="str">
        <f>IF(ISBLANK(Locale Control_3),"",Locale Control_3)</f>
        <v>North Vancouver, Seymour Dam gate</v>
      </c>
      <c r="E9" s="42" t="str">
        <f>IF(ISBLANK(Control_3 Establishment_1),"",Control_3 Establishment_1)</f>
        <v>Sign on gate</v>
      </c>
      <c r="F9" s="42" t="str">
        <f>IF(ISBLANK('Control Entry'!I12),"",'Control Entry'!I12)</f>
        <v>"Failure to do so may result in damage to the g___ and b___."</v>
      </c>
      <c r="G9" s="10"/>
      <c r="H9" s="35" t="s">
        <v>46</v>
      </c>
      <c r="J9" s="17" t="s">
        <v>56</v>
      </c>
      <c r="K9" s="17"/>
      <c r="L9" s="64" t="s">
        <v>57</v>
      </c>
      <c r="M9" s="23"/>
      <c r="N9" s="23"/>
      <c r="O9" s="23"/>
      <c r="P9" s="23"/>
      <c r="Q9" s="23"/>
      <c r="R9" s="23"/>
      <c r="S9" s="23"/>
      <c r="T9" s="23"/>
      <c r="U9" s="21"/>
    </row>
    <row r="10" spans="1:22" ht="36" customHeight="1" thickBot="1" x14ac:dyDescent="0.45">
      <c r="A10" s="48">
        <f>IF(ISBLANK(Distance Control_3),"",Control_3 Distance)</f>
        <v>55.7</v>
      </c>
      <c r="B10" s="49">
        <f>Control_3 Open_time</f>
        <v>44415.359722222223</v>
      </c>
      <c r="C10" s="49">
        <f>Control_3 Close_time</f>
        <v>44415.446527777778</v>
      </c>
      <c r="D10" s="133"/>
      <c r="E10" s="42" t="str">
        <f>IF(ISBLANK(Control_3 Establishment_2),"",Control_3 Establishment_2)</f>
        <v/>
      </c>
      <c r="F10" s="42" t="str">
        <f>IF(ISBLANK('Control Entry'!J12),"",'Control Entry'!J12)</f>
        <v/>
      </c>
      <c r="G10" s="10"/>
      <c r="H10" s="35" t="s">
        <v>46</v>
      </c>
      <c r="J10" s="17"/>
      <c r="K10" s="17"/>
      <c r="L10" s="37"/>
      <c r="M10" s="23"/>
      <c r="N10" s="23"/>
      <c r="O10" s="23"/>
      <c r="P10" s="23"/>
      <c r="Q10" s="23"/>
      <c r="R10" s="23"/>
      <c r="S10" s="23"/>
      <c r="T10" s="23"/>
      <c r="U10" s="21"/>
    </row>
    <row r="11" spans="1:22" ht="36" customHeight="1" thickBot="1" x14ac:dyDescent="0.45">
      <c r="A11" s="43"/>
      <c r="B11" s="44">
        <f>Control_3 Open_time</f>
        <v>44415.359722222223</v>
      </c>
      <c r="C11" s="44">
        <f>Control_3 Close_time</f>
        <v>44415.446527777778</v>
      </c>
      <c r="D11" s="135"/>
      <c r="E11" s="46" t="str">
        <f>IF(ISBLANK(Control_3 Establishment_3),"",Control_3 Establishment_3)</f>
        <v/>
      </c>
      <c r="F11" s="46" t="str">
        <f>IF(ISBLANK('Control Entry'!K12),"",'Control Entry'!K12)</f>
        <v/>
      </c>
      <c r="G11" s="11"/>
      <c r="H11" s="35" t="s">
        <v>46</v>
      </c>
      <c r="J11" s="17" t="s">
        <v>58</v>
      </c>
      <c r="K11" s="17"/>
      <c r="L11" s="37"/>
      <c r="M11" s="23"/>
      <c r="N11" s="23"/>
      <c r="O11" s="24"/>
      <c r="P11" s="24" t="s">
        <v>59</v>
      </c>
      <c r="Q11" s="24"/>
      <c r="R11" s="24"/>
      <c r="S11" s="57"/>
      <c r="T11" s="37"/>
      <c r="U11" s="21"/>
    </row>
    <row r="12" spans="1:22" ht="36" customHeight="1" thickBot="1" x14ac:dyDescent="0.45">
      <c r="A12" s="39"/>
      <c r="B12" s="40">
        <f>Control_4 Open_time</f>
        <v>44415.436805555553</v>
      </c>
      <c r="C12" s="40">
        <f>Control_4 Close_time</f>
        <v>44415.620833333334</v>
      </c>
      <c r="D12" s="134" t="str">
        <f>IF(ISBLANK(Locale Control_4),"",Locale Control_4)</f>
        <v>Richmond, Iona Park Washrooms</v>
      </c>
      <c r="E12" s="42" t="str">
        <f>IF(ISBLANK(Control_4 Establishment_1),"",Control_4 Establishment_1)</f>
        <v>Sign at drinking fountain</v>
      </c>
      <c r="F12" s="42" t="str">
        <f>IF(ISBLANK('Control Entry'!I13),"",'Control Entry'!I13)</f>
        <v>"s___ and m__" will clog the pipe.</v>
      </c>
      <c r="G12" s="10"/>
      <c r="H12" s="35" t="s">
        <v>46</v>
      </c>
      <c r="J12" s="17" t="s">
        <v>60</v>
      </c>
      <c r="K12" s="17"/>
      <c r="L12" s="37"/>
      <c r="M12" s="23"/>
      <c r="N12" s="23"/>
      <c r="O12" s="24"/>
      <c r="P12" s="24" t="s">
        <v>61</v>
      </c>
      <c r="Q12" s="24"/>
      <c r="R12" s="24"/>
      <c r="S12" s="57"/>
      <c r="T12" s="37"/>
      <c r="U12" s="21"/>
    </row>
    <row r="13" spans="1:22" ht="36" customHeight="1" thickBot="1" x14ac:dyDescent="0.45">
      <c r="A13" s="48">
        <f>IF(ISBLANK(Distance Control_4),"",Control_4 Distance)</f>
        <v>118.6</v>
      </c>
      <c r="B13" s="49">
        <f>Control_4 Open_time</f>
        <v>44415.436805555553</v>
      </c>
      <c r="C13" s="49">
        <f>Control_4 Close_time</f>
        <v>44415.620833333334</v>
      </c>
      <c r="D13" s="133"/>
      <c r="E13" s="42" t="str">
        <f>IF(ISBLANK(Control_4 Establishment_2),"",Control_4 Establishment_2)</f>
        <v/>
      </c>
      <c r="F13" s="42" t="str">
        <f>IF(ISBLANK('Control Entry'!J13),"",'Control Entry'!J13)</f>
        <v/>
      </c>
      <c r="G13" s="10"/>
      <c r="H13" s="35" t="s">
        <v>46</v>
      </c>
      <c r="J13" s="17" t="s">
        <v>62</v>
      </c>
      <c r="L13" s="77"/>
      <c r="M13" s="78"/>
      <c r="N13" s="78"/>
      <c r="O13" s="25"/>
      <c r="P13" s="24" t="s">
        <v>63</v>
      </c>
      <c r="Q13" s="24"/>
      <c r="R13" s="38"/>
      <c r="S13" s="26"/>
      <c r="T13" s="26"/>
      <c r="U13" s="22"/>
    </row>
    <row r="14" spans="1:22" ht="36" customHeight="1" thickBot="1" x14ac:dyDescent="0.4">
      <c r="A14" s="43"/>
      <c r="B14" s="44">
        <f>Control_4 Open_time</f>
        <v>44415.436805555553</v>
      </c>
      <c r="C14" s="44">
        <f>Control_4 Close_time</f>
        <v>44415.620833333334</v>
      </c>
      <c r="D14" s="135"/>
      <c r="E14" s="46" t="str">
        <f>IF(ISBLANK(Control_4 Establishment_3),"",Control_4 Establishment_3)</f>
        <v/>
      </c>
      <c r="F14" s="97" t="str">
        <f>IF(ISBLANK('Control Entry'!K13),"",'Control Entry'!K13)</f>
        <v/>
      </c>
      <c r="G14" s="11"/>
      <c r="H14" s="35" t="s">
        <v>46</v>
      </c>
    </row>
    <row r="15" spans="1:22" ht="36" customHeight="1" x14ac:dyDescent="0.35">
      <c r="A15" s="39"/>
      <c r="B15" s="40">
        <f>Control_5 Open_time</f>
        <v>44415.494444444441</v>
      </c>
      <c r="C15" s="40">
        <f>Control_5 Close_time</f>
        <v>44415.752083333333</v>
      </c>
      <c r="D15" s="134" t="str">
        <f>IF(ISBLANK(Locale Control_5),"",Locale Control_5)</f>
        <v>Delta, Burns Dr @ 64 St, bike path entrance</v>
      </c>
      <c r="E15" s="42" t="str">
        <f>IF(ISBLANK(Control_5 Establishment_1),"",Control_5 Establishment_1)</f>
        <v>Bright yellow sign</v>
      </c>
      <c r="F15" s="42" t="str">
        <f>IF(ISBLANK('Control Entry'!I14),"",'Control Entry'!I14)</f>
        <v>"Warning G___ P____"</v>
      </c>
      <c r="G15" s="10"/>
      <c r="H15" s="35" t="s">
        <v>46</v>
      </c>
      <c r="J15" s="17"/>
      <c r="L15" s="128" t="s">
        <v>64</v>
      </c>
      <c r="M15" s="128"/>
      <c r="N15" s="128"/>
      <c r="O15" s="128"/>
      <c r="P15" s="128"/>
      <c r="Q15" s="128"/>
      <c r="R15" s="128"/>
      <c r="S15" s="128"/>
      <c r="T15" s="128"/>
      <c r="U15" s="128"/>
    </row>
    <row r="16" spans="1:22" ht="36" customHeight="1" thickBot="1" x14ac:dyDescent="0.35">
      <c r="A16" s="48">
        <f>IF(ISBLANK(Distance Control_5),"",Control_5 Distance)</f>
        <v>165.7</v>
      </c>
      <c r="B16" s="49">
        <f>Control_5 Open_time</f>
        <v>44415.494444444441</v>
      </c>
      <c r="C16" s="49">
        <f>Control_5 Close_time</f>
        <v>44415.752083333333</v>
      </c>
      <c r="D16" s="133"/>
      <c r="E16" s="42" t="str">
        <f>IF(ISBLANK(Control_5 Establishment_2),"",Control_5 Establishment_2)</f>
        <v/>
      </c>
      <c r="F16" s="42" t="str">
        <f>IF(ISBLANK('Control Entry'!J14),"",'Control Entry'!J14)</f>
        <v/>
      </c>
      <c r="G16" s="10"/>
      <c r="H16" s="35" t="s">
        <v>46</v>
      </c>
      <c r="L16" s="72"/>
      <c r="M16" s="72"/>
      <c r="N16" s="72"/>
      <c r="O16" s="72"/>
      <c r="P16" s="72"/>
      <c r="Q16" s="73"/>
      <c r="R16" s="73"/>
      <c r="S16" s="73"/>
      <c r="T16" s="73"/>
      <c r="U16" s="73"/>
    </row>
    <row r="17" spans="1:22" ht="36" customHeight="1" thickBot="1" x14ac:dyDescent="0.4">
      <c r="A17" s="43"/>
      <c r="B17" s="44">
        <f>Control_5 Open_time</f>
        <v>44415.494444444441</v>
      </c>
      <c r="C17" s="44">
        <f>Control_5 Close_time</f>
        <v>44415.752083333333</v>
      </c>
      <c r="D17" s="135"/>
      <c r="E17" s="46" t="str">
        <f>IF(ISBLANK(Control_5 Establishment_3),"",Control_5 Establishment_3)</f>
        <v/>
      </c>
      <c r="F17" s="46" t="str">
        <f>IF(ISBLANK('Control Entry'!K14),"",'Control Entry'!K14)</f>
        <v/>
      </c>
      <c r="G17" s="11"/>
      <c r="H17" s="35" t="s">
        <v>46</v>
      </c>
    </row>
    <row r="18" spans="1:22" ht="36" customHeight="1" x14ac:dyDescent="0.35">
      <c r="A18" s="39"/>
      <c r="B18" s="40">
        <f>Control_6 Open_time</f>
        <v>44415.541666666664</v>
      </c>
      <c r="C18" s="40">
        <f>Control_6 Close_time</f>
        <v>44415.854166666664</v>
      </c>
      <c r="D18" s="134" t="str">
        <f>IF(ISBLANK(Locale Control_6),"",Locale Control_6)</f>
        <v>Vancouver, Ross St @ 43rd Ave</v>
      </c>
      <c r="E18" s="42" t="str">
        <f>IF(ISBLANK(Control_6 Establishment_1),"",Control_6 Establishment_1)</f>
        <v/>
      </c>
      <c r="F18" s="42" t="str">
        <f>IF(ISBLANK('Control Entry'!I15),"",'Control Entry'!I15)</f>
        <v>Initial upon completion.</v>
      </c>
      <c r="G18" s="10"/>
      <c r="H18" s="35" t="s">
        <v>46</v>
      </c>
    </row>
    <row r="19" spans="1:22" ht="36" customHeight="1" x14ac:dyDescent="0.3">
      <c r="A19" s="48">
        <f>IF(ISBLANK(Distance Control_6),"",Control_6 Distance)</f>
        <v>203.7</v>
      </c>
      <c r="B19" s="49">
        <f>Control_6 Open_time</f>
        <v>44415.541666666664</v>
      </c>
      <c r="C19" s="49">
        <f>Control_6 Close_time</f>
        <v>44415.854166666664</v>
      </c>
      <c r="D19" s="133"/>
      <c r="E19" s="42" t="str">
        <f>IF(ISBLANK(Control_6 Establishment_2),"",Control_6 Establishment_2)</f>
        <v/>
      </c>
      <c r="F19" s="42" t="str">
        <f>IF(ISBLANK('Control Entry'!J15),"",'Control Entry'!J15)</f>
        <v/>
      </c>
      <c r="G19" s="10"/>
      <c r="H19" s="35" t="s">
        <v>46</v>
      </c>
    </row>
    <row r="20" spans="1:22" ht="36" customHeight="1" thickBot="1" x14ac:dyDescent="0.4">
      <c r="A20" s="43"/>
      <c r="B20" s="44">
        <f>Control_6 Open_time</f>
        <v>44415.541666666664</v>
      </c>
      <c r="C20" s="44">
        <f>Control_6 Close_time</f>
        <v>44415.854166666664</v>
      </c>
      <c r="D20" s="135"/>
      <c r="E20" s="46" t="str">
        <f>IF(ISBLANK(Control_6 Establishment_3),"",Control_6 Establishment_3)</f>
        <v/>
      </c>
      <c r="F20" s="46" t="str">
        <f>IF(ISBLANK('Control Entry'!K15),"",'Control Entry'!K15)</f>
        <v/>
      </c>
      <c r="G20" s="11"/>
      <c r="H20" s="35" t="s">
        <v>46</v>
      </c>
      <c r="J20" s="71" t="s">
        <v>65</v>
      </c>
      <c r="K20" s="71"/>
      <c r="L20" s="74"/>
      <c r="M20" s="74"/>
      <c r="N20" s="74"/>
      <c r="P20" s="24" t="s">
        <v>66</v>
      </c>
      <c r="Q20" s="24"/>
      <c r="S20" s="127">
        <f>'Control Entry'!B8</f>
        <v>0.29166666666666669</v>
      </c>
      <c r="T20" s="127"/>
      <c r="U20" s="127"/>
    </row>
    <row r="21" spans="1:22" ht="36" customHeight="1" x14ac:dyDescent="0.35">
      <c r="A21" s="39"/>
      <c r="B21" s="40" t="str">
        <f>Control_7 Open_time</f>
        <v/>
      </c>
      <c r="C21" s="40" t="str">
        <f>Control_7 Close_time</f>
        <v/>
      </c>
      <c r="D21" s="47"/>
      <c r="E21" s="42" t="str">
        <f>IF(ISBLANK(Control_7 Establishment_1),"",Control_7 Establishment_1)</f>
        <v/>
      </c>
      <c r="F21" s="42" t="str">
        <f>IF(ISBLANK('Control Entry'!I16),"",'Control Entry'!I16)</f>
        <v/>
      </c>
      <c r="G21" s="10"/>
      <c r="H21" s="35" t="s">
        <v>46</v>
      </c>
      <c r="J21" s="71"/>
      <c r="K21" s="71"/>
      <c r="L21" s="70"/>
      <c r="M21" s="70"/>
      <c r="N21" s="70"/>
      <c r="P21" s="24"/>
      <c r="Q21" s="24"/>
      <c r="R21" s="29"/>
      <c r="S21" s="75"/>
      <c r="T21" s="75"/>
      <c r="U21" s="75"/>
      <c r="V21" s="36"/>
    </row>
    <row r="22" spans="1:22" ht="36" customHeight="1" thickBot="1" x14ac:dyDescent="0.4">
      <c r="A22" s="48" t="str">
        <f>IF(ISBLANK(Distance Control_7),"",Control_7 Distance)</f>
        <v/>
      </c>
      <c r="B22" s="49" t="str">
        <f>Control_7 Open_time</f>
        <v/>
      </c>
      <c r="C22" s="49" t="str">
        <f>Control_7 Close_time</f>
        <v/>
      </c>
      <c r="D22" s="50" t="str">
        <f>IF(ISBLANK(Locale Control_7),"",Locale Control_7)</f>
        <v/>
      </c>
      <c r="E22" s="42" t="str">
        <f>IF(ISBLANK(Control_7 Establishment_2),"",Control_7 Establishment_2)</f>
        <v/>
      </c>
      <c r="F22" s="42" t="str">
        <f>IF(ISBLANK('Control Entry'!J16),"",'Control Entry'!J16)</f>
        <v/>
      </c>
      <c r="G22" s="10"/>
      <c r="H22" s="35" t="s">
        <v>46</v>
      </c>
      <c r="J22" s="108" t="s">
        <v>67</v>
      </c>
      <c r="K22" s="108"/>
      <c r="L22" s="74"/>
      <c r="M22" s="74"/>
      <c r="N22" s="74"/>
      <c r="O22" s="25"/>
      <c r="P22" s="24" t="s">
        <v>68</v>
      </c>
      <c r="Q22" s="24"/>
      <c r="R22" s="25"/>
      <c r="S22" s="76"/>
      <c r="T22" s="76"/>
      <c r="U22" s="76"/>
    </row>
    <row r="23" spans="1:22" ht="36" customHeight="1" thickBot="1" x14ac:dyDescent="0.4">
      <c r="A23" s="43"/>
      <c r="B23" s="44" t="str">
        <f>Control_7 Open_time</f>
        <v/>
      </c>
      <c r="C23" s="44" t="str">
        <f>Control_7 Close_time</f>
        <v/>
      </c>
      <c r="D23" s="45"/>
      <c r="E23" s="46" t="str">
        <f>IF(ISBLANK(Control_7 Establishment_3),"",Control_7 Establishment_3)</f>
        <v/>
      </c>
      <c r="F23" s="46" t="str">
        <f>IF(ISBLANK('Control Entry'!K16),"",'Control Entry'!K16)</f>
        <v/>
      </c>
      <c r="G23" s="11"/>
      <c r="H23" s="35" t="s">
        <v>46</v>
      </c>
      <c r="J23" s="108"/>
      <c r="K23" s="108"/>
      <c r="L23" s="70"/>
      <c r="M23" s="70"/>
      <c r="N23" s="70"/>
      <c r="O23" s="29"/>
      <c r="P23" s="69"/>
      <c r="Q23" s="69"/>
      <c r="R23" s="29"/>
      <c r="S23" s="29"/>
      <c r="T23" s="29"/>
      <c r="U23" s="29"/>
      <c r="V23" s="36"/>
    </row>
    <row r="24" spans="1:22" ht="36" customHeight="1" thickBot="1" x14ac:dyDescent="0.4">
      <c r="A24" s="39"/>
      <c r="B24" s="40" t="str">
        <f>Control_8 Open_time</f>
        <v/>
      </c>
      <c r="C24" s="40" t="str">
        <f>Control_8 Close_time</f>
        <v/>
      </c>
      <c r="D24" s="47"/>
      <c r="E24" s="42" t="str">
        <f>IF(ISBLANK(Control_8 Establishment_1),"",Control_8 Establishment_1)</f>
        <v/>
      </c>
      <c r="F24" s="42" t="str">
        <f>IF(ISBLANK('Control Entry'!I17),"",'Control Entry'!I17)</f>
        <v/>
      </c>
      <c r="G24" s="10"/>
      <c r="H24" s="35" t="s">
        <v>46</v>
      </c>
      <c r="J24" s="18"/>
      <c r="K24" s="18"/>
      <c r="L24" s="18"/>
      <c r="M24" s="26"/>
      <c r="N24" s="26"/>
      <c r="O24" s="25"/>
      <c r="P24" s="24" t="s">
        <v>69</v>
      </c>
      <c r="Q24" s="24"/>
      <c r="R24" s="25"/>
      <c r="S24" s="26"/>
      <c r="T24" s="26"/>
      <c r="U24" s="26"/>
    </row>
    <row r="25" spans="1:22" ht="36" customHeight="1" x14ac:dyDescent="0.3">
      <c r="A25" s="48" t="str">
        <f>IF(ISBLANK(Distance Control_8),"",Control_8 Distance)</f>
        <v/>
      </c>
      <c r="B25" s="49" t="str">
        <f>Control_8 Open_time</f>
        <v/>
      </c>
      <c r="C25" s="49" t="str">
        <f>Control_8 Close_time</f>
        <v/>
      </c>
      <c r="D25" s="50" t="str">
        <f>IF(ISBLANK(Locale Control_8),"",Locale Control_8)</f>
        <v/>
      </c>
      <c r="E25" s="66" t="str">
        <f>IF(ISBLANK(Control_8 Establishment_2),"",Control_8 Establishment_2)</f>
        <v/>
      </c>
      <c r="F25" s="42" t="str">
        <f>IF(ISBLANK('Control Entry'!J17),"",'Control Entry'!J17)</f>
        <v/>
      </c>
      <c r="G25" s="10"/>
      <c r="H25" s="35" t="s">
        <v>46</v>
      </c>
      <c r="J25" s="125" t="s">
        <v>70</v>
      </c>
      <c r="K25" s="125"/>
      <c r="L25" s="125"/>
      <c r="M25" s="125"/>
      <c r="N25" s="125"/>
      <c r="O25" s="62"/>
      <c r="P25" s="115"/>
      <c r="Q25" s="115"/>
      <c r="R25" s="62"/>
      <c r="S25" s="116"/>
      <c r="T25" s="116"/>
      <c r="U25" s="116"/>
      <c r="V25" s="116"/>
    </row>
    <row r="26" spans="1:22" ht="36" customHeight="1" thickBot="1" x14ac:dyDescent="0.4">
      <c r="A26" s="43"/>
      <c r="B26" s="44" t="str">
        <f>Control_8 Open_time</f>
        <v/>
      </c>
      <c r="C26" s="44" t="str">
        <f>Control_8 Close_time</f>
        <v/>
      </c>
      <c r="D26" s="45"/>
      <c r="E26" s="46" t="str">
        <f>IF(ISBLANK(Control_8 Establishment_3),"",Control_8 Establishment_3)</f>
        <v/>
      </c>
      <c r="F26" s="46" t="str">
        <f>IF(ISBLANK('Control Entry'!K17),"",'Control Entry'!K17)</f>
        <v/>
      </c>
      <c r="G26" s="11"/>
      <c r="H26" s="35" t="s">
        <v>46</v>
      </c>
    </row>
    <row r="27" spans="1:22" ht="42.6" customHeight="1" x14ac:dyDescent="0.35">
      <c r="A27" s="39"/>
      <c r="B27" s="40" t="str">
        <f>Control_9 Open_time</f>
        <v/>
      </c>
      <c r="C27" s="40" t="str">
        <f>Control_9 Close_time</f>
        <v/>
      </c>
      <c r="D27" s="47"/>
      <c r="E27" s="42" t="str">
        <f>IF(ISBLANK(Control_9 Establishment_1),"",Control_9 Establishment_1)</f>
        <v/>
      </c>
      <c r="F27" s="42" t="str">
        <f>IF(ISBLANK('Control Entry'!I18),"",'Control Entry'!I18)</f>
        <v/>
      </c>
      <c r="G27" s="10"/>
      <c r="H27" s="35" t="s">
        <v>46</v>
      </c>
      <c r="K27" s="123" t="s">
        <v>71</v>
      </c>
      <c r="L27" s="115"/>
      <c r="M27" s="61" t="s">
        <v>72</v>
      </c>
      <c r="N27" s="115" t="s">
        <v>73</v>
      </c>
      <c r="O27" s="115"/>
      <c r="P27" s="115" t="s">
        <v>74</v>
      </c>
      <c r="Q27" s="115"/>
      <c r="R27" s="62" t="s">
        <v>75</v>
      </c>
      <c r="S27" s="116" t="s">
        <v>76</v>
      </c>
      <c r="T27" s="116"/>
      <c r="U27" s="116" t="s">
        <v>77</v>
      </c>
      <c r="V27" s="116"/>
    </row>
    <row r="28" spans="1:22" ht="36" customHeight="1" x14ac:dyDescent="0.3">
      <c r="A28" s="48" t="str">
        <f>IF(ISBLANK(Distance Control_9),"",Control_9 Distance)</f>
        <v/>
      </c>
      <c r="B28" s="49" t="str">
        <f>Control_9 Open_time</f>
        <v/>
      </c>
      <c r="C28" s="49" t="str">
        <f>Control_9 Close_time</f>
        <v/>
      </c>
      <c r="D28" s="50" t="str">
        <f>IF(ISBLANK(Locale Control_9),"",Locale Control_9)</f>
        <v/>
      </c>
      <c r="E28" s="42" t="str">
        <f>IF(ISBLANK(Control_9 Establishment_2),"",Control_9 Establishment_2)</f>
        <v/>
      </c>
      <c r="F28" s="42" t="str">
        <f>IF(ISBLANK('Control Entry'!J18),"",'Control Entry'!J18)</f>
        <v/>
      </c>
      <c r="G28" s="10"/>
      <c r="H28" s="35" t="s">
        <v>46</v>
      </c>
    </row>
    <row r="29" spans="1:22" ht="36" customHeight="1" thickBot="1" x14ac:dyDescent="0.4">
      <c r="A29" s="43"/>
      <c r="B29" s="44" t="str">
        <f>Control_9 Open_time</f>
        <v/>
      </c>
      <c r="C29" s="44" t="str">
        <f>Control_9 Close_time</f>
        <v/>
      </c>
      <c r="D29" s="45"/>
      <c r="E29" s="46" t="str">
        <f>IF(ISBLANK(Control_9 Establishment_3),"",Control_9 Establishment_3)</f>
        <v/>
      </c>
      <c r="F29" s="46" t="str">
        <f>IF(ISBLANK('Control Entry'!K18),"",'Control Entry'!K18)</f>
        <v/>
      </c>
      <c r="G29" s="11"/>
      <c r="H29" s="35" t="s">
        <v>46</v>
      </c>
      <c r="M29" s="114" t="s">
        <v>78</v>
      </c>
      <c r="N29" s="114"/>
      <c r="O29" s="114"/>
      <c r="P29" s="114"/>
      <c r="Q29" s="114"/>
      <c r="R29" s="114"/>
      <c r="S29" s="114"/>
      <c r="T29" s="114"/>
      <c r="U29" s="67"/>
    </row>
    <row r="30" spans="1:22" ht="36" customHeight="1" x14ac:dyDescent="0.35">
      <c r="A30" s="39"/>
      <c r="B30" s="40" t="str">
        <f>Control_10 Open_time</f>
        <v/>
      </c>
      <c r="C30" s="40" t="str">
        <f>Control_10 Close_time</f>
        <v/>
      </c>
      <c r="D30" s="47"/>
      <c r="E30" s="42" t="str">
        <f>IF(ISBLANK(Control_10 Establishment_1),"",Control_10 Establishment_1)</f>
        <v/>
      </c>
      <c r="F30" s="42" t="str">
        <f>IF(ISBLANK('Control Entry'!I19),"",'Control Entry'!I19)</f>
        <v/>
      </c>
      <c r="G30" s="10"/>
      <c r="H30" s="35" t="s">
        <v>46</v>
      </c>
      <c r="M30" s="19"/>
      <c r="N30" s="27"/>
      <c r="O30" s="27"/>
      <c r="P30" s="28"/>
      <c r="Q30" s="27"/>
      <c r="R30" s="27"/>
      <c r="S30" s="27"/>
      <c r="T30" s="28"/>
      <c r="U30" s="29"/>
    </row>
    <row r="31" spans="1:22" ht="36" customHeight="1" x14ac:dyDescent="0.3">
      <c r="A31" s="48" t="str">
        <f>IF(ISBLANK(Distance Control_10),"",Control_10 Distance)</f>
        <v/>
      </c>
      <c r="B31" s="49" t="str">
        <f>Control_10 Open_time</f>
        <v/>
      </c>
      <c r="C31" s="49" t="str">
        <f>Control_10 Close_time</f>
        <v/>
      </c>
      <c r="D31" s="50" t="str">
        <f>IF(ISBLANK(Locale Control_10),"",Locale Control_10)</f>
        <v/>
      </c>
      <c r="E31" s="42" t="str">
        <f>IF(ISBLANK(Control_10 Establishment_2),"",Control_10 Establishment_2)</f>
        <v/>
      </c>
      <c r="F31" s="42" t="str">
        <f>IF(ISBLANK('Control Entry'!J19),"",'Control Entry'!J19)</f>
        <v/>
      </c>
      <c r="G31" s="10"/>
      <c r="H31" s="35" t="s">
        <v>46</v>
      </c>
      <c r="M31" s="20"/>
      <c r="N31" s="29"/>
      <c r="O31" s="29"/>
      <c r="P31" s="30"/>
      <c r="Q31" s="29"/>
      <c r="R31" s="29"/>
      <c r="S31" s="29"/>
      <c r="T31" s="30"/>
      <c r="U31" s="29"/>
    </row>
    <row r="32" spans="1:22" ht="36" customHeight="1" thickBot="1" x14ac:dyDescent="0.4">
      <c r="A32" s="43"/>
      <c r="B32" s="44" t="str">
        <f>Control_10 Open_time</f>
        <v/>
      </c>
      <c r="C32" s="44" t="str">
        <f>Control_10 Close_time</f>
        <v/>
      </c>
      <c r="D32" s="45"/>
      <c r="E32" s="46" t="str">
        <f>IF(ISBLANK(Control_10 Establishment_3),"",Control_10 Establishment_3)</f>
        <v/>
      </c>
      <c r="F32" s="46" t="str">
        <f>IF(ISBLANK('Control Entry'!K19),"",'Control Entry'!K19)</f>
        <v/>
      </c>
      <c r="G32" s="11"/>
      <c r="H32" s="35" t="s">
        <v>46</v>
      </c>
      <c r="M32" s="65"/>
      <c r="N32" s="26"/>
      <c r="O32" s="26"/>
      <c r="P32" s="31"/>
      <c r="Q32" s="26"/>
      <c r="R32" s="26"/>
      <c r="S32" s="26"/>
      <c r="T32" s="31"/>
      <c r="U32" s="29"/>
    </row>
    <row r="33" spans="1:22" ht="36" customHeight="1" x14ac:dyDescent="0.35">
      <c r="A33" s="122" t="s">
        <v>79</v>
      </c>
      <c r="B33" s="122"/>
      <c r="C33" s="122"/>
      <c r="D33" s="122"/>
      <c r="E33" s="122"/>
      <c r="F33" s="122"/>
      <c r="G33" s="122"/>
      <c r="H33" s="51"/>
      <c r="I33" s="51"/>
      <c r="N33" s="117"/>
      <c r="O33" s="117"/>
      <c r="P33" s="117"/>
      <c r="Q33" s="117"/>
      <c r="R33" s="117"/>
      <c r="S33" s="117"/>
      <c r="T33" s="117"/>
      <c r="U33" s="117"/>
      <c r="V33" s="70"/>
    </row>
    <row r="34" spans="1:22" ht="36" customHeight="1" x14ac:dyDescent="0.35">
      <c r="A34"/>
      <c r="O34" s="59"/>
      <c r="P34" s="59"/>
      <c r="Q34" s="59"/>
      <c r="R34" s="58"/>
    </row>
    <row r="35" spans="1:22" ht="36" customHeight="1" x14ac:dyDescent="0.25">
      <c r="A35"/>
      <c r="N35" s="114"/>
      <c r="O35" s="114"/>
      <c r="P35" s="114"/>
      <c r="Q35" s="114"/>
      <c r="R35" s="114"/>
      <c r="S35" s="114"/>
      <c r="T35" s="114"/>
      <c r="U35" s="114"/>
    </row>
    <row r="36" spans="1:22" ht="36" customHeight="1" x14ac:dyDescent="0.25">
      <c r="A36"/>
      <c r="N36" s="36"/>
      <c r="O36" s="29"/>
      <c r="P36" s="29"/>
      <c r="Q36" s="29"/>
      <c r="R36" s="29"/>
      <c r="S36" s="29"/>
      <c r="T36" s="29"/>
      <c r="U36" s="29"/>
    </row>
    <row r="37" spans="1:22" ht="36" customHeight="1" x14ac:dyDescent="0.25">
      <c r="A37"/>
      <c r="N37" s="36"/>
      <c r="O37" s="29"/>
      <c r="P37" s="29"/>
      <c r="Q37" s="29"/>
      <c r="R37" s="29"/>
      <c r="S37" s="29"/>
      <c r="T37" s="29"/>
      <c r="U37" s="29"/>
    </row>
    <row r="38" spans="1:22" ht="36" customHeight="1" x14ac:dyDescent="0.35">
      <c r="A38"/>
      <c r="N38" s="68"/>
      <c r="O38" s="29"/>
      <c r="P38" s="29"/>
      <c r="Q38" s="29"/>
      <c r="R38" s="29"/>
      <c r="S38" s="29"/>
      <c r="T38" s="29"/>
      <c r="U38" s="29"/>
    </row>
    <row r="39" spans="1:22" ht="36" customHeight="1" x14ac:dyDescent="0.25">
      <c r="A39"/>
    </row>
    <row r="40" spans="1:22" ht="36" customHeight="1" x14ac:dyDescent="0.25">
      <c r="A40"/>
    </row>
  </sheetData>
  <mergeCells count="30">
    <mergeCell ref="D18:D20"/>
    <mergeCell ref="D3:D5"/>
    <mergeCell ref="D6:D8"/>
    <mergeCell ref="D9:D11"/>
    <mergeCell ref="D12:D14"/>
    <mergeCell ref="D15:D17"/>
    <mergeCell ref="R5:U5"/>
    <mergeCell ref="K2:U2"/>
    <mergeCell ref="L8:Q8"/>
    <mergeCell ref="A1:G1"/>
    <mergeCell ref="A33:G33"/>
    <mergeCell ref="M4:T4"/>
    <mergeCell ref="P25:Q25"/>
    <mergeCell ref="S25:T25"/>
    <mergeCell ref="U25:V25"/>
    <mergeCell ref="N5:O5"/>
    <mergeCell ref="K27:L27"/>
    <mergeCell ref="J25:N25"/>
    <mergeCell ref="O3:R3"/>
    <mergeCell ref="S20:U20"/>
    <mergeCell ref="L15:U15"/>
    <mergeCell ref="L6:U6"/>
    <mergeCell ref="T8:U8"/>
    <mergeCell ref="N35:U35"/>
    <mergeCell ref="M29:T29"/>
    <mergeCell ref="N27:O27"/>
    <mergeCell ref="P27:Q27"/>
    <mergeCell ref="S27:T27"/>
    <mergeCell ref="U27:V27"/>
    <mergeCell ref="N33:U33"/>
  </mergeCells>
  <phoneticPr fontId="16" type="noConversion"/>
  <pageMargins left="0.2" right="0.2" top="0.2" bottom="0.2" header="0.51" footer="0.51"/>
  <pageSetup scale="47" orientation="landscape" horizontalDpi="4294967292" verticalDpi="4294967292" r:id="rId1"/>
  <drawing r:id="rId2"/>
  <extLst>
    <ext xmlns:mx="http://schemas.microsoft.com/office/mac/excel/2008/main" uri="{64002731-A6B0-56B0-2670-7721B7C09600}">
      <mx:PLV Mode="0" OnePage="0" WScale="10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V40"/>
  <sheetViews>
    <sheetView showGridLines="0" zoomScale="92" zoomScaleNormal="92" zoomScalePageLayoutView="92" workbookViewId="0">
      <selection activeCell="L8" sqref="L8:Q8"/>
    </sheetView>
  </sheetViews>
  <sheetFormatPr defaultColWidth="8.77734375" defaultRowHeight="13.2" x14ac:dyDescent="0.25"/>
  <cols>
    <col min="1" max="1" width="8.44140625" style="1" customWidth="1"/>
    <col min="2" max="2" width="12.21875" customWidth="1"/>
    <col min="3" max="3" width="11.6640625" customWidth="1"/>
    <col min="4" max="4" width="18" customWidth="1"/>
    <col min="5" max="5" width="23.77734375" customWidth="1"/>
    <col min="6" max="6" width="42" customWidth="1"/>
    <col min="7" max="7" width="13.44140625" customWidth="1"/>
    <col min="8" max="8" width="8" style="36" customWidth="1"/>
    <col min="9" max="9" width="12" customWidth="1"/>
    <col min="18" max="19" width="8.77734375" customWidth="1"/>
  </cols>
  <sheetData>
    <row r="1" spans="1:22" ht="21" thickBot="1" x14ac:dyDescent="0.3">
      <c r="A1" s="121" t="s">
        <v>45</v>
      </c>
      <c r="B1" s="121"/>
      <c r="C1" s="121"/>
      <c r="D1" s="121"/>
      <c r="E1" s="121"/>
      <c r="F1" s="121"/>
      <c r="G1" s="121"/>
      <c r="H1" s="35" t="s">
        <v>46</v>
      </c>
    </row>
    <row r="2" spans="1:22" ht="33.75" customHeight="1" thickBot="1" x14ac:dyDescent="0.35">
      <c r="A2" s="93" t="s">
        <v>47</v>
      </c>
      <c r="B2" s="9" t="s">
        <v>25</v>
      </c>
      <c r="C2" s="9" t="s">
        <v>26</v>
      </c>
      <c r="D2" s="9" t="s">
        <v>18</v>
      </c>
      <c r="E2" s="9" t="s">
        <v>48</v>
      </c>
      <c r="F2" s="9" t="s">
        <v>49</v>
      </c>
      <c r="G2" s="93" t="s">
        <v>50</v>
      </c>
      <c r="H2" s="35" t="s">
        <v>46</v>
      </c>
      <c r="K2" s="119" t="s">
        <v>51</v>
      </c>
      <c r="L2" s="119"/>
      <c r="M2" s="119"/>
      <c r="N2" s="119"/>
      <c r="O2" s="119"/>
      <c r="P2" s="119"/>
      <c r="Q2" s="119"/>
      <c r="R2" s="119"/>
      <c r="S2" s="119"/>
      <c r="T2" s="119"/>
      <c r="U2" s="119"/>
    </row>
    <row r="3" spans="1:22" ht="36" customHeight="1" x14ac:dyDescent="0.7">
      <c r="A3" s="39"/>
      <c r="B3" s="40">
        <f>'Control Entry'!N23</f>
        <v>44415.291666666664</v>
      </c>
      <c r="C3" s="40">
        <f>'Control Entry'!O23</f>
        <v>44415.333333333328</v>
      </c>
      <c r="D3" s="41"/>
      <c r="E3" s="42" t="str">
        <f>IF(ISBLANK('Control Entry'!F23),"",'Control Entry'!F23)</f>
        <v>Sign in parking lot, near footpath</v>
      </c>
      <c r="F3" s="42" t="str">
        <f>IF(ISBLANK('Control Entry'!I23),"",'Control Entry'!I23)</f>
        <v>Maximum fine for smoking</v>
      </c>
      <c r="G3" s="10"/>
      <c r="H3" s="35" t="s">
        <v>46</v>
      </c>
      <c r="K3" s="16"/>
      <c r="N3" s="126" t="s">
        <v>43</v>
      </c>
      <c r="O3" s="126"/>
      <c r="P3" s="126"/>
      <c r="Q3" s="126"/>
      <c r="R3" s="126"/>
      <c r="S3" s="126"/>
      <c r="T3" s="52"/>
      <c r="U3" s="52"/>
    </row>
    <row r="4" spans="1:22" ht="36" customHeight="1" x14ac:dyDescent="0.3">
      <c r="A4" s="48">
        <f>IF(ISBLANK('Control Entry'!D23),"",'Control Entry'!D23)</f>
        <v>0</v>
      </c>
      <c r="B4" s="49">
        <f>'Control Entry'!N23</f>
        <v>44415.291666666664</v>
      </c>
      <c r="C4" s="49">
        <f>'Control Entry'!O23</f>
        <v>44415.333333333328</v>
      </c>
      <c r="D4" s="50" t="str">
        <f>IF(ISBLANK('Control Entry'!E23),"",'Control Entry'!E23)</f>
        <v>Vancouver, Ross St @ 43rd Ave</v>
      </c>
      <c r="E4" s="42" t="str">
        <f>IF(ISBLANK('Control Entry'!G23),"",'Control Entry'!G23)</f>
        <v/>
      </c>
      <c r="F4" s="42" t="str">
        <f>IF(ISBLANK('Control Entry'!J23),"",'Control Entry'!J23)</f>
        <v/>
      </c>
      <c r="G4" s="10"/>
      <c r="H4" s="35" t="s">
        <v>46</v>
      </c>
      <c r="K4" s="16"/>
      <c r="M4" s="123" t="str">
        <f>IF(ISBLANK(brevet),"",brevet&amp;" km Randonnée")</f>
        <v>200 km Randonnée</v>
      </c>
      <c r="N4" s="123"/>
      <c r="O4" s="123"/>
      <c r="P4" s="123"/>
      <c r="Q4" s="123"/>
      <c r="R4" s="123"/>
      <c r="S4" s="123"/>
      <c r="T4" s="123"/>
      <c r="U4" s="53"/>
    </row>
    <row r="5" spans="1:22" ht="36" customHeight="1" thickBot="1" x14ac:dyDescent="0.4">
      <c r="A5" s="43"/>
      <c r="B5" s="44">
        <f>'Control Entry'!N23</f>
        <v>44415.291666666664</v>
      </c>
      <c r="C5" s="44">
        <f>'Control Entry'!O23</f>
        <v>44415.333333333328</v>
      </c>
      <c r="D5" s="45"/>
      <c r="E5" s="46" t="str">
        <f>IF(ISBLANK('Control Entry'!H23),"",'Control Entry'!H23)</f>
        <v/>
      </c>
      <c r="F5" s="46" t="str">
        <f>IF(ISBLANK('Control Entry'!K23),"",'Control Entry'!K23)</f>
        <v/>
      </c>
      <c r="G5" s="11"/>
      <c r="H5" s="35" t="s">
        <v>46</v>
      </c>
      <c r="K5" s="16"/>
      <c r="M5" s="17"/>
      <c r="N5" s="124" t="s">
        <v>53</v>
      </c>
      <c r="O5" s="124"/>
      <c r="P5" s="79">
        <f>IF(ISBLANK(Brevet_Number),"",Brevet_Number)</f>
        <v>5079</v>
      </c>
      <c r="Q5" s="80"/>
      <c r="R5" s="118">
        <f>IF(ISBLANK('Control Entry'!$B5),"",'Control Entry'!$B5)</f>
        <v>44415</v>
      </c>
      <c r="S5" s="118"/>
      <c r="T5" s="118"/>
      <c r="U5" s="118"/>
      <c r="V5" s="54"/>
    </row>
    <row r="6" spans="1:22" ht="36" customHeight="1" x14ac:dyDescent="0.4">
      <c r="A6" s="39"/>
      <c r="B6" s="40">
        <f>'Control Entry'!N24</f>
        <v>44415.331944444442</v>
      </c>
      <c r="C6" s="40">
        <f>'Control Entry'!O24</f>
        <v>44415.381944444445</v>
      </c>
      <c r="D6" s="47"/>
      <c r="E6" s="42" t="str">
        <f>IF(ISBLANK('Control Entry'!F24),"",'Control Entry'!F24)</f>
        <v>Sign on outside wall of washrooms</v>
      </c>
      <c r="F6" s="42" t="str">
        <f>IF(ISBLANK('Control Entry'!I24),"",'Control Entry'!I24)</f>
        <v>"S____   p____ users play at their own risk."</v>
      </c>
      <c r="G6" s="10"/>
      <c r="H6" s="35" t="s">
        <v>46</v>
      </c>
      <c r="K6" s="16"/>
      <c r="L6" s="129" t="str">
        <f>IF(ISBLANK(Brevet_Description),"",Brevet_Description)</f>
        <v>See More than the Seymour Dam</v>
      </c>
      <c r="M6" s="129"/>
      <c r="N6" s="129"/>
      <c r="O6" s="129"/>
      <c r="P6" s="129"/>
      <c r="Q6" s="129"/>
      <c r="R6" s="129"/>
      <c r="S6" s="129"/>
      <c r="T6" s="129"/>
      <c r="U6" s="129"/>
    </row>
    <row r="7" spans="1:22" ht="36" customHeight="1" x14ac:dyDescent="0.3">
      <c r="A7" s="48">
        <f>IF(ISBLANK('Control Entry'!D24),"",'Control Entry'!D24)</f>
        <v>32.6</v>
      </c>
      <c r="B7" s="49">
        <f>'Control Entry'!N24</f>
        <v>44415.331944444442</v>
      </c>
      <c r="C7" s="49">
        <f>'Control Entry'!O24</f>
        <v>44415.381944444445</v>
      </c>
      <c r="D7" s="50" t="str">
        <f>IF(ISBLANK('Control Entry'!E24),"",'Control Entry'!E24)</f>
        <v>North Vancouver, Myrtle Park</v>
      </c>
      <c r="E7" s="42" t="str">
        <f>IF(ISBLANK('Control Entry'!G24),"",'Control Entry'!G24)</f>
        <v/>
      </c>
      <c r="F7" s="42" t="str">
        <f>IF(ISBLANK('Control Entry'!J24),"",'Control Entry'!J24)</f>
        <v/>
      </c>
      <c r="G7" s="10"/>
      <c r="H7" s="35" t="s">
        <v>46</v>
      </c>
    </row>
    <row r="8" spans="1:22" ht="36" customHeight="1" thickBot="1" x14ac:dyDescent="0.4">
      <c r="A8" s="43"/>
      <c r="B8" s="44">
        <f>'Control Entry'!N24</f>
        <v>44415.331944444442</v>
      </c>
      <c r="C8" s="44">
        <f>'Control Entry'!O24</f>
        <v>44415.381944444445</v>
      </c>
      <c r="D8" s="45"/>
      <c r="E8" s="46" t="str">
        <f>IF(ISBLANK('Control Entry'!H24),"",'Control Entry'!H24)</f>
        <v/>
      </c>
      <c r="F8" s="46" t="str">
        <f>IF(ISBLANK('Control Entry'!K24),"",'Control Entry'!K24)</f>
        <v/>
      </c>
      <c r="G8" s="11"/>
      <c r="H8" s="35" t="s">
        <v>46</v>
      </c>
      <c r="J8" s="17" t="s">
        <v>54</v>
      </c>
      <c r="L8" s="120" t="str">
        <f>IF(ISBLANK('Control Card #1'!L8:Q8),"",'Control Card #1'!L8:Q8)</f>
        <v/>
      </c>
      <c r="M8" s="120"/>
      <c r="N8" s="120"/>
      <c r="O8" s="120"/>
      <c r="P8" s="120"/>
      <c r="Q8" s="120"/>
      <c r="R8" s="36"/>
      <c r="S8" s="55" t="s">
        <v>55</v>
      </c>
      <c r="T8" s="132" t="str">
        <f>IF(ISBLANK('Control Card #1'!T8:U8),"",'Control Card #1'!T8:U8)</f>
        <v/>
      </c>
      <c r="U8" s="132"/>
    </row>
    <row r="9" spans="1:22" ht="36" customHeight="1" x14ac:dyDescent="0.35">
      <c r="A9" s="39"/>
      <c r="B9" s="40">
        <f>'Control Entry'!N25</f>
        <v>44415.359722222223</v>
      </c>
      <c r="C9" s="40">
        <f>'Control Entry'!O25</f>
        <v>44415.446527777778</v>
      </c>
      <c r="D9" s="47"/>
      <c r="E9" s="42" t="str">
        <f>IF(ISBLANK('Control Entry'!F25),"",'Control Entry'!F25)</f>
        <v>Sign on gate</v>
      </c>
      <c r="F9" s="42" t="str">
        <f>IF(ISBLANK('Control Entry'!I25),"",'Control Entry'!I25)</f>
        <v>"Failure to do so may result in damage to the g___ and b___."</v>
      </c>
      <c r="G9" s="10"/>
      <c r="H9" s="35" t="s">
        <v>46</v>
      </c>
    </row>
    <row r="10" spans="1:22" ht="36" customHeight="1" x14ac:dyDescent="0.3">
      <c r="A10" s="48">
        <f>IF(ISBLANK('Control Entry'!D25),"",'Control Entry'!D25)</f>
        <v>55.7</v>
      </c>
      <c r="B10" s="49">
        <f>'Control Entry'!N25</f>
        <v>44415.359722222223</v>
      </c>
      <c r="C10" s="49">
        <f>'Control Entry'!O25</f>
        <v>44415.446527777778</v>
      </c>
      <c r="D10" s="50" t="str">
        <f>IF(ISBLANK('Control Entry'!E25),"",'Control Entry'!E25)</f>
        <v>North Vancouver, Seymour Dam gate</v>
      </c>
      <c r="E10" s="42" t="str">
        <f>IF(ISBLANK('Control Entry'!G25),"",'Control Entry'!G25)</f>
        <v/>
      </c>
      <c r="F10" s="42" t="str">
        <f>IF(ISBLANK('Control Entry'!J25),"",'Control Entry'!J25)</f>
        <v/>
      </c>
      <c r="G10" s="10"/>
      <c r="H10" s="35" t="s">
        <v>46</v>
      </c>
    </row>
    <row r="11" spans="1:22" ht="36" customHeight="1" thickBot="1" x14ac:dyDescent="0.4">
      <c r="A11" s="43"/>
      <c r="B11" s="44">
        <f>'Control Entry'!N25</f>
        <v>44415.359722222223</v>
      </c>
      <c r="C11" s="44">
        <f>'Control Entry'!O25</f>
        <v>44415.446527777778</v>
      </c>
      <c r="D11" s="45"/>
      <c r="E11" s="46" t="str">
        <f>IF(ISBLANK('Control Entry'!H25),"",'Control Entry'!H25)</f>
        <v/>
      </c>
      <c r="F11" s="46" t="str">
        <f>IF(ISBLANK('Control Entry'!K25),"",'Control Entry'!K25)</f>
        <v/>
      </c>
      <c r="G11" s="11"/>
      <c r="H11" s="35" t="s">
        <v>46</v>
      </c>
    </row>
    <row r="12" spans="1:22" ht="36" customHeight="1" x14ac:dyDescent="0.35">
      <c r="A12" s="39"/>
      <c r="B12" s="40">
        <f>'Control Entry'!N26</f>
        <v>44415.436805555553</v>
      </c>
      <c r="C12" s="40">
        <f>'Control Entry'!O26</f>
        <v>44415.620833333334</v>
      </c>
      <c r="D12" s="47"/>
      <c r="E12" s="42" t="str">
        <f>IF(ISBLANK('Control Entry'!F26),"",'Control Entry'!F26)</f>
        <v>Sign at drinking fountain</v>
      </c>
      <c r="F12" s="42" t="str">
        <f>IF(ISBLANK('Control Entry'!I26),"",'Control Entry'!I26)</f>
        <v>"s___ and m__" will clog the pipe.</v>
      </c>
      <c r="G12" s="10"/>
      <c r="H12" s="35" t="s">
        <v>46</v>
      </c>
    </row>
    <row r="13" spans="1:22" ht="36" customHeight="1" x14ac:dyDescent="0.3">
      <c r="A13" s="48">
        <f>IF(ISBLANK('Control Entry'!D26),"",'Control Entry'!D26)</f>
        <v>118.6</v>
      </c>
      <c r="B13" s="49">
        <f>'Control Entry'!N26</f>
        <v>44415.436805555553</v>
      </c>
      <c r="C13" s="49">
        <f>'Control Entry'!O26</f>
        <v>44415.620833333334</v>
      </c>
      <c r="D13" s="50" t="str">
        <f>IF(ISBLANK('Control Entry'!E26),"",'Control Entry'!E26)</f>
        <v>Richmond, Iona Park Washrooms</v>
      </c>
      <c r="E13" s="42" t="str">
        <f>IF(ISBLANK('Control Entry'!G26),"",'Control Entry'!G26)</f>
        <v/>
      </c>
      <c r="F13" s="42" t="str">
        <f>IF(ISBLANK('Control Entry'!J26),"",'Control Entry'!J26)</f>
        <v/>
      </c>
      <c r="G13" s="10"/>
      <c r="H13" s="35" t="s">
        <v>46</v>
      </c>
    </row>
    <row r="14" spans="1:22" ht="36" customHeight="1" thickBot="1" x14ac:dyDescent="0.4">
      <c r="A14" s="43"/>
      <c r="B14" s="44">
        <f>'Control Entry'!N26</f>
        <v>44415.436805555553</v>
      </c>
      <c r="C14" s="44">
        <f>'Control Entry'!O26</f>
        <v>44415.620833333334</v>
      </c>
      <c r="D14" s="45"/>
      <c r="E14" s="46" t="str">
        <f>IF(ISBLANK('Control Entry'!H26),"",'Control Entry'!H26)</f>
        <v/>
      </c>
      <c r="F14" s="46" t="str">
        <f>IF(ISBLANK('Control Entry'!K26),"",'Control Entry'!K26)</f>
        <v/>
      </c>
      <c r="G14" s="11"/>
      <c r="H14" s="35" t="s">
        <v>46</v>
      </c>
    </row>
    <row r="15" spans="1:22" ht="36" customHeight="1" x14ac:dyDescent="0.35">
      <c r="A15" s="39"/>
      <c r="B15" s="40">
        <f>'Control Entry'!N27</f>
        <v>44415.494444444441</v>
      </c>
      <c r="C15" s="40">
        <f>'Control Entry'!O27</f>
        <v>44415.752083333333</v>
      </c>
      <c r="D15" s="47"/>
      <c r="E15" s="42" t="str">
        <f>IF(ISBLANK('Control Entry'!F27),"",'Control Entry'!F27)</f>
        <v>Bright yellow sign</v>
      </c>
      <c r="F15" s="42" t="str">
        <f>IF(ISBLANK('Control Entry'!I27),"",'Control Entry'!I27)</f>
        <v>"Warning G___ P____"</v>
      </c>
      <c r="G15" s="10"/>
      <c r="H15" s="35" t="s">
        <v>46</v>
      </c>
    </row>
    <row r="16" spans="1:22" ht="36" customHeight="1" x14ac:dyDescent="0.3">
      <c r="A16" s="48">
        <f>IF(ISBLANK('Control Entry'!D27),"",'Control Entry'!D27)</f>
        <v>165.7</v>
      </c>
      <c r="B16" s="49">
        <f>'Control Entry'!N27</f>
        <v>44415.494444444441</v>
      </c>
      <c r="C16" s="49">
        <f>'Control Entry'!O27</f>
        <v>44415.752083333333</v>
      </c>
      <c r="D16" s="50" t="str">
        <f>IF(ISBLANK('Control Entry'!E27),"",'Control Entry'!E27)</f>
        <v>Delta, Burns Dr @ 64 St, bike path entrance</v>
      </c>
      <c r="E16" s="42" t="str">
        <f>IF(ISBLANK('Control Entry'!G27),"",'Control Entry'!G27)</f>
        <v/>
      </c>
      <c r="F16" s="42" t="str">
        <f>IF(ISBLANK('Control Entry'!J27),"",'Control Entry'!J27)</f>
        <v/>
      </c>
      <c r="G16" s="10"/>
      <c r="H16" s="35" t="s">
        <v>46</v>
      </c>
    </row>
    <row r="17" spans="1:21" ht="36" customHeight="1" thickBot="1" x14ac:dyDescent="0.4">
      <c r="A17" s="43"/>
      <c r="B17" s="44">
        <f>'Control Entry'!N27</f>
        <v>44415.494444444441</v>
      </c>
      <c r="C17" s="44">
        <f>'Control Entry'!O27</f>
        <v>44415.752083333333</v>
      </c>
      <c r="D17" s="45"/>
      <c r="E17" s="46" t="str">
        <f>IF(ISBLANK('Control Entry'!H27),"",'Control Entry'!H27)</f>
        <v/>
      </c>
      <c r="F17" s="46" t="str">
        <f>IF(ISBLANK('Control Entry'!K27),"",'Control Entry'!K27)</f>
        <v/>
      </c>
      <c r="G17" s="11"/>
      <c r="H17" s="35" t="s">
        <v>46</v>
      </c>
    </row>
    <row r="18" spans="1:21" ht="36" customHeight="1" thickBot="1" x14ac:dyDescent="0.4">
      <c r="A18" s="39"/>
      <c r="B18" s="40">
        <f>'Control Entry'!N28</f>
        <v>44415.541666666664</v>
      </c>
      <c r="C18" s="40">
        <f>'Control Entry'!O28</f>
        <v>44415.854166666664</v>
      </c>
      <c r="D18" s="47"/>
      <c r="E18" s="42" t="str">
        <f>IF(ISBLANK('Control Entry'!F28),"",'Control Entry'!F28)</f>
        <v/>
      </c>
      <c r="F18" s="42" t="str">
        <f>IF(ISBLANK('Control Entry'!I28),"",'Control Entry'!I28)</f>
        <v/>
      </c>
      <c r="G18" s="10"/>
      <c r="H18" s="35" t="s">
        <v>46</v>
      </c>
      <c r="N18" s="131"/>
      <c r="O18" s="131"/>
      <c r="P18" s="131"/>
      <c r="Q18" s="131"/>
      <c r="R18" s="131"/>
      <c r="S18" s="131"/>
    </row>
    <row r="19" spans="1:21" ht="36" customHeight="1" x14ac:dyDescent="0.3">
      <c r="A19" s="48">
        <f>IF(ISBLANK('Control Entry'!D28),"",'Control Entry'!D28)</f>
        <v>203.7</v>
      </c>
      <c r="B19" s="49">
        <f>'Control Entry'!N28</f>
        <v>44415.541666666664</v>
      </c>
      <c r="C19" s="49">
        <f>'Control Entry'!O28</f>
        <v>44415.854166666664</v>
      </c>
      <c r="D19" s="50" t="str">
        <f>IF(ISBLANK('Control Entry'!E28),"",'Control Entry'!E28)</f>
        <v>Vancouver, Ross St @ 43rd Ave</v>
      </c>
      <c r="E19" s="42" t="str">
        <f>IF(ISBLANK('Control Entry'!G28),"",'Control Entry'!G28)</f>
        <v/>
      </c>
      <c r="F19" s="42" t="str">
        <f>IF(ISBLANK('Control Entry'!J28),"",'Control Entry'!J28)</f>
        <v/>
      </c>
      <c r="G19" s="10"/>
      <c r="H19" s="35" t="s">
        <v>46</v>
      </c>
      <c r="N19" s="125" t="s">
        <v>70</v>
      </c>
      <c r="O19" s="125"/>
      <c r="P19" s="125"/>
      <c r="Q19" s="125"/>
      <c r="R19" s="125"/>
      <c r="S19" s="125"/>
    </row>
    <row r="20" spans="1:21" ht="36" customHeight="1" thickBot="1" x14ac:dyDescent="0.4">
      <c r="A20" s="43"/>
      <c r="B20" s="44">
        <f>'Control Entry'!N28</f>
        <v>44415.541666666664</v>
      </c>
      <c r="C20" s="44">
        <f>'Control Entry'!O28</f>
        <v>44415.854166666664</v>
      </c>
      <c r="D20" s="45"/>
      <c r="E20" s="46" t="str">
        <f>IF(ISBLANK('Control Entry'!H28),"",'Control Entry'!H28)</f>
        <v/>
      </c>
      <c r="F20" s="46" t="str">
        <f>IF(ISBLANK('Control Entry'!K28),"",'Control Entry'!K28)</f>
        <v/>
      </c>
      <c r="G20" s="11"/>
      <c r="H20" s="35" t="s">
        <v>46</v>
      </c>
    </row>
    <row r="21" spans="1:21" ht="36" customHeight="1" x14ac:dyDescent="0.35">
      <c r="A21" s="39"/>
      <c r="B21" s="40" t="str">
        <f>'Control Entry'!N29</f>
        <v/>
      </c>
      <c r="C21" s="40" t="str">
        <f>'Control Entry'!O29</f>
        <v/>
      </c>
      <c r="D21" s="47"/>
      <c r="E21" s="42" t="str">
        <f>IF(ISBLANK('Control Entry'!F29),"",'Control Entry'!F29)</f>
        <v/>
      </c>
      <c r="F21" s="42" t="str">
        <f>IF(ISBLANK('Control Entry'!I29),"",'Control Entry'!I29)</f>
        <v/>
      </c>
      <c r="G21" s="10"/>
      <c r="H21" s="35" t="s">
        <v>46</v>
      </c>
      <c r="L21" s="130" t="s">
        <v>80</v>
      </c>
      <c r="M21" s="130"/>
      <c r="N21" s="130"/>
      <c r="O21" s="130"/>
      <c r="P21" s="130"/>
      <c r="Q21" s="130"/>
      <c r="R21" s="130"/>
      <c r="S21" s="130"/>
      <c r="T21" s="130"/>
      <c r="U21" s="130"/>
    </row>
    <row r="22" spans="1:21" ht="36" customHeight="1" x14ac:dyDescent="0.3">
      <c r="A22" s="48" t="str">
        <f>IF(ISBLANK('Control Entry'!D29),"",'Control Entry'!D29)</f>
        <v/>
      </c>
      <c r="B22" s="49" t="str">
        <f>'Control Entry'!N29</f>
        <v/>
      </c>
      <c r="C22" s="49" t="str">
        <f>'Control Entry'!O29</f>
        <v/>
      </c>
      <c r="D22" s="50" t="str">
        <f>IF(ISBLANK('Control Entry'!E29),"",'Control Entry'!E29)</f>
        <v/>
      </c>
      <c r="E22" s="42" t="str">
        <f>IF(ISBLANK('Control Entry'!G29),"",'Control Entry'!G29)</f>
        <v/>
      </c>
      <c r="F22" s="42" t="str">
        <f>IF(ISBLANK('Control Entry'!J29),"",'Control Entry'!J29)</f>
        <v/>
      </c>
      <c r="G22" s="10"/>
      <c r="H22" s="35" t="s">
        <v>46</v>
      </c>
    </row>
    <row r="23" spans="1:21" ht="36" customHeight="1" thickBot="1" x14ac:dyDescent="0.4">
      <c r="A23" s="43"/>
      <c r="B23" s="44" t="str">
        <f>'Control Entry'!N29</f>
        <v/>
      </c>
      <c r="C23" s="44" t="str">
        <f>'Control Entry'!O29</f>
        <v/>
      </c>
      <c r="D23" s="45"/>
      <c r="E23" s="46" t="str">
        <f>IF(ISBLANK('Control Entry'!H29),"",'Control Entry'!H29)</f>
        <v/>
      </c>
      <c r="F23" s="46" t="str">
        <f>IF(ISBLANK('Control Entry'!K29),"",'Control Entry'!K29)</f>
        <v/>
      </c>
      <c r="G23" s="11"/>
      <c r="H23" s="35" t="s">
        <v>46</v>
      </c>
    </row>
    <row r="24" spans="1:21" ht="36" customHeight="1" x14ac:dyDescent="0.35">
      <c r="A24" s="39"/>
      <c r="B24" s="40" t="str">
        <f>'Control Entry'!N30</f>
        <v/>
      </c>
      <c r="C24" s="40" t="str">
        <f>'Control Entry'!O30</f>
        <v/>
      </c>
      <c r="D24" s="47"/>
      <c r="E24" s="42" t="str">
        <f>IF(ISBLANK('Control Entry'!F30),"",'Control Entry'!F30)</f>
        <v/>
      </c>
      <c r="F24" s="42" t="str">
        <f>IF(ISBLANK('Control Entry'!I30),"",'Control Entry'!I30)</f>
        <v/>
      </c>
      <c r="G24" s="10"/>
      <c r="H24" s="35" t="s">
        <v>46</v>
      </c>
    </row>
    <row r="25" spans="1:21" ht="36" customHeight="1" x14ac:dyDescent="0.3">
      <c r="A25" s="48" t="str">
        <f>IF(ISBLANK('Control Entry'!D30),"",'Control Entry'!D30)</f>
        <v/>
      </c>
      <c r="B25" s="49" t="str">
        <f>'Control Entry'!N30</f>
        <v/>
      </c>
      <c r="C25" s="49" t="str">
        <f>'Control Entry'!O30</f>
        <v/>
      </c>
      <c r="D25" s="50" t="str">
        <f>IF(ISBLANK('Control Entry'!E30),"",'Control Entry'!E30)</f>
        <v/>
      </c>
      <c r="E25" s="42" t="str">
        <f>IF(ISBLANK('Control Entry'!G30),"",'Control Entry'!G30)</f>
        <v/>
      </c>
      <c r="F25" s="42" t="str">
        <f>IF(ISBLANK('Control Entry'!J30),"",'Control Entry'!J30)</f>
        <v/>
      </c>
      <c r="G25" s="10"/>
      <c r="H25" s="35" t="s">
        <v>46</v>
      </c>
    </row>
    <row r="26" spans="1:21" ht="36" customHeight="1" thickBot="1" x14ac:dyDescent="0.4">
      <c r="A26" s="43"/>
      <c r="B26" s="44" t="str">
        <f>'Control Entry'!N30</f>
        <v/>
      </c>
      <c r="C26" s="44" t="str">
        <f>'Control Entry'!O30</f>
        <v/>
      </c>
      <c r="D26" s="45"/>
      <c r="E26" s="46" t="str">
        <f>IF(ISBLANK('Control Entry'!H30),"",'Control Entry'!H30)</f>
        <v/>
      </c>
      <c r="F26" s="46" t="str">
        <f>IF(ISBLANK('Control Entry'!K30),"",'Control Entry'!K30)</f>
        <v/>
      </c>
      <c r="G26" s="11"/>
      <c r="H26" s="35" t="s">
        <v>46</v>
      </c>
    </row>
    <row r="27" spans="1:21" ht="36" customHeight="1" x14ac:dyDescent="0.35">
      <c r="A27" s="39"/>
      <c r="B27" s="40" t="str">
        <f>'Control Entry'!N31</f>
        <v/>
      </c>
      <c r="C27" s="40" t="str">
        <f>'Control Entry'!O31</f>
        <v/>
      </c>
      <c r="D27" s="47"/>
      <c r="E27" s="42" t="str">
        <f>IF(ISBLANK('Control Entry'!F31),"",'Control Entry'!F31)</f>
        <v/>
      </c>
      <c r="F27" s="42" t="str">
        <f>IF(ISBLANK('Control Entry'!I31),"",'Control Entry'!I31)</f>
        <v/>
      </c>
      <c r="G27" s="10"/>
      <c r="H27" s="35" t="s">
        <v>46</v>
      </c>
    </row>
    <row r="28" spans="1:21" ht="36" customHeight="1" x14ac:dyDescent="0.3">
      <c r="A28" s="48" t="str">
        <f>IF(ISBLANK('Control Entry'!D31),"",'Control Entry'!D31)</f>
        <v/>
      </c>
      <c r="B28" s="49" t="str">
        <f>'Control Entry'!N31</f>
        <v/>
      </c>
      <c r="C28" s="49" t="str">
        <f>'Control Entry'!O31</f>
        <v/>
      </c>
      <c r="D28" s="50" t="str">
        <f>IF(ISBLANK('Control Entry'!E31),"",'Control Entry'!E31)</f>
        <v/>
      </c>
      <c r="E28" s="42" t="str">
        <f>IF(ISBLANK('Control Entry'!G31),"",'Control Entry'!G31)</f>
        <v/>
      </c>
      <c r="F28" s="42" t="str">
        <f>IF(ISBLANK('Control Entry'!J31),"",'Control Entry'!J31)</f>
        <v/>
      </c>
      <c r="G28" s="10"/>
      <c r="H28" s="35" t="s">
        <v>46</v>
      </c>
    </row>
    <row r="29" spans="1:21" ht="36" customHeight="1" thickBot="1" x14ac:dyDescent="0.4">
      <c r="A29" s="43"/>
      <c r="B29" s="44" t="str">
        <f>'Control Entry'!N31</f>
        <v/>
      </c>
      <c r="C29" s="44" t="str">
        <f>'Control Entry'!O31</f>
        <v/>
      </c>
      <c r="D29" s="45"/>
      <c r="E29" s="46" t="str">
        <f>IF(ISBLANK('Control Entry'!H31),"",'Control Entry'!H31)</f>
        <v/>
      </c>
      <c r="F29" s="46" t="str">
        <f>IF(ISBLANK('Control Entry'!K31),"",'Control Entry'!K31)</f>
        <v/>
      </c>
      <c r="G29" s="11"/>
      <c r="H29" s="35" t="s">
        <v>46</v>
      </c>
      <c r="M29" s="114" t="s">
        <v>78</v>
      </c>
      <c r="N29" s="114"/>
      <c r="O29" s="114"/>
      <c r="P29" s="114"/>
      <c r="Q29" s="114"/>
      <c r="R29" s="114"/>
      <c r="S29" s="114"/>
      <c r="T29" s="114"/>
      <c r="U29" s="67"/>
    </row>
    <row r="30" spans="1:21" ht="36" customHeight="1" x14ac:dyDescent="0.35">
      <c r="A30" s="39"/>
      <c r="B30" s="40" t="str">
        <f>'Control Entry'!N32</f>
        <v/>
      </c>
      <c r="C30" s="40" t="str">
        <f>'Control Entry'!O32</f>
        <v/>
      </c>
      <c r="D30" s="47"/>
      <c r="E30" s="42" t="str">
        <f>IF(ISBLANK('Control Entry'!F32),"",'Control Entry'!F32)</f>
        <v/>
      </c>
      <c r="F30" s="42" t="str">
        <f>IF(ISBLANK('Control Entry'!I32),"",'Control Entry'!I32)</f>
        <v/>
      </c>
      <c r="G30" s="10"/>
      <c r="H30" s="35" t="s">
        <v>46</v>
      </c>
      <c r="M30" s="19"/>
      <c r="N30" s="27"/>
      <c r="O30" s="27"/>
      <c r="P30" s="28"/>
      <c r="Q30" s="27"/>
      <c r="R30" s="27"/>
      <c r="S30" s="27"/>
      <c r="T30" s="28"/>
      <c r="U30" s="29"/>
    </row>
    <row r="31" spans="1:21" ht="36" customHeight="1" x14ac:dyDescent="0.3">
      <c r="A31" s="48" t="str">
        <f>IF(ISBLANK('Control Entry'!D32),"",'Control Entry'!D32)</f>
        <v/>
      </c>
      <c r="B31" s="49" t="str">
        <f>'Control Entry'!N32</f>
        <v/>
      </c>
      <c r="C31" s="49" t="str">
        <f>'Control Entry'!O32</f>
        <v/>
      </c>
      <c r="D31" s="50" t="str">
        <f>IF(ISBLANK('Control Entry'!E32),"",'Control Entry'!E32)</f>
        <v/>
      </c>
      <c r="E31" s="42" t="str">
        <f>IF(ISBLANK('Control Entry'!G32),"",'Control Entry'!G32)</f>
        <v/>
      </c>
      <c r="F31" s="42" t="str">
        <f>IF(ISBLANK('Control Entry'!J32),"",'Control Entry'!J32)</f>
        <v/>
      </c>
      <c r="G31" s="10"/>
      <c r="H31" s="35" t="s">
        <v>46</v>
      </c>
      <c r="M31" s="20"/>
      <c r="N31" s="29"/>
      <c r="O31" s="29"/>
      <c r="P31" s="30"/>
      <c r="Q31" s="29"/>
      <c r="R31" s="29"/>
      <c r="S31" s="29"/>
      <c r="T31" s="30"/>
      <c r="U31" s="29"/>
    </row>
    <row r="32" spans="1:21" ht="36" customHeight="1" thickBot="1" x14ac:dyDescent="0.4">
      <c r="A32" s="43"/>
      <c r="B32" s="44" t="str">
        <f>'Control Entry'!N32</f>
        <v/>
      </c>
      <c r="C32" s="44" t="str">
        <f>'Control Entry'!O32</f>
        <v/>
      </c>
      <c r="D32" s="45"/>
      <c r="E32" s="46" t="str">
        <f>IF(ISBLANK('Control Entry'!H32),"",'Control Entry'!H32)</f>
        <v/>
      </c>
      <c r="F32" s="46" t="str">
        <f>IF(ISBLANK('Control Entry'!K32),"",'Control Entry'!K32)</f>
        <v/>
      </c>
      <c r="G32" s="11"/>
      <c r="H32" s="35" t="s">
        <v>46</v>
      </c>
      <c r="M32" s="65"/>
      <c r="N32" s="26"/>
      <c r="O32" s="26"/>
      <c r="P32" s="31"/>
      <c r="Q32" s="26"/>
      <c r="R32" s="26"/>
      <c r="S32" s="26"/>
      <c r="T32" s="31"/>
      <c r="U32" s="29"/>
    </row>
    <row r="33" spans="1:22" ht="36" customHeight="1" x14ac:dyDescent="0.35">
      <c r="A33" s="122" t="s">
        <v>79</v>
      </c>
      <c r="B33" s="122"/>
      <c r="C33" s="122"/>
      <c r="D33" s="122"/>
      <c r="E33" s="122"/>
      <c r="F33" s="122"/>
      <c r="G33" s="122"/>
      <c r="H33" s="51"/>
      <c r="I33" s="51"/>
      <c r="N33" s="117"/>
      <c r="O33" s="117"/>
      <c r="P33" s="117"/>
      <c r="Q33" s="117"/>
      <c r="R33" s="117"/>
      <c r="S33" s="117"/>
      <c r="T33" s="117"/>
      <c r="U33" s="117"/>
      <c r="V33" s="70"/>
    </row>
    <row r="34" spans="1:22" ht="36" customHeight="1" x14ac:dyDescent="0.35">
      <c r="A34"/>
      <c r="O34" s="59"/>
      <c r="P34" s="59"/>
      <c r="Q34" s="59"/>
      <c r="R34" s="58"/>
    </row>
    <row r="35" spans="1:22" ht="36" customHeight="1" x14ac:dyDescent="0.25">
      <c r="A35"/>
      <c r="N35" s="114"/>
      <c r="O35" s="114"/>
      <c r="P35" s="114"/>
      <c r="Q35" s="114"/>
      <c r="R35" s="114"/>
      <c r="S35" s="114"/>
      <c r="T35" s="114"/>
      <c r="U35" s="114"/>
    </row>
    <row r="36" spans="1:22" ht="36" customHeight="1" x14ac:dyDescent="0.25">
      <c r="A36"/>
      <c r="N36" s="36"/>
      <c r="O36" s="29"/>
      <c r="P36" s="29"/>
      <c r="Q36" s="29"/>
      <c r="R36" s="29"/>
      <c r="S36" s="29"/>
      <c r="T36" s="29"/>
      <c r="U36" s="29"/>
    </row>
    <row r="37" spans="1:22" ht="36" customHeight="1" x14ac:dyDescent="0.25">
      <c r="A37"/>
      <c r="N37" s="36"/>
      <c r="O37" s="29"/>
      <c r="P37" s="29"/>
      <c r="Q37" s="29"/>
      <c r="R37" s="29"/>
      <c r="S37" s="29"/>
      <c r="T37" s="29"/>
      <c r="U37" s="29"/>
    </row>
    <row r="38" spans="1:22" ht="36" customHeight="1" x14ac:dyDescent="0.35">
      <c r="A38"/>
      <c r="N38" s="68"/>
      <c r="O38" s="29"/>
      <c r="P38" s="29"/>
      <c r="Q38" s="29"/>
      <c r="R38" s="29"/>
      <c r="S38" s="29"/>
      <c r="T38" s="29"/>
      <c r="U38" s="29"/>
    </row>
    <row r="39" spans="1:22" ht="36" customHeight="1" x14ac:dyDescent="0.25">
      <c r="A39"/>
    </row>
    <row r="40" spans="1:22" ht="36" customHeight="1" x14ac:dyDescent="0.25">
      <c r="A40"/>
    </row>
  </sheetData>
  <mergeCells count="16">
    <mergeCell ref="L6:U6"/>
    <mergeCell ref="T8:U8"/>
    <mergeCell ref="A1:G1"/>
    <mergeCell ref="K2:U2"/>
    <mergeCell ref="N3:S3"/>
    <mergeCell ref="M4:T4"/>
    <mergeCell ref="N5:O5"/>
    <mergeCell ref="R5:U5"/>
    <mergeCell ref="A33:G33"/>
    <mergeCell ref="N33:U33"/>
    <mergeCell ref="N35:U35"/>
    <mergeCell ref="L21:U21"/>
    <mergeCell ref="L8:Q8"/>
    <mergeCell ref="M29:T29"/>
    <mergeCell ref="N18:S18"/>
    <mergeCell ref="N19:S19"/>
  </mergeCells>
  <phoneticPr fontId="16" type="noConversion"/>
  <printOptions horizontalCentered="1" verticalCentered="1"/>
  <pageMargins left="0.2" right="0.2" top="0.2" bottom="0.2" header="0.51" footer="0.51"/>
  <pageSetup scale="47" orientation="landscape" horizontalDpi="4294967292" verticalDpi="4294967292" r:id="rId1"/>
  <ignoredErrors>
    <ignoredError sqref="L8 T8" emptyCellReference="1"/>
  </ignoredErrors>
  <drawing r:id="rId2"/>
  <extLst>
    <ext xmlns:mx="http://schemas.microsoft.com/office/mac/excel/2008/main" uri="{64002731-A6B0-56B0-2670-7721B7C09600}">
      <mx:PLV Mode="0" OnePage="0" WScale="10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28</vt:i4>
      </vt:variant>
    </vt:vector>
  </HeadingPairs>
  <TitlesOfParts>
    <vt:vector size="31" baseType="lpstr">
      <vt:lpstr>Control Entry</vt:lpstr>
      <vt:lpstr>Control Card #1</vt:lpstr>
      <vt:lpstr>Control Card #2</vt:lpstr>
      <vt:lpstr>brevet</vt:lpstr>
      <vt:lpstr>Brevet_Description</vt:lpstr>
      <vt:lpstr>Brevet_Length</vt:lpstr>
      <vt:lpstr>Brevet_Number</vt:lpstr>
      <vt:lpstr>Close</vt:lpstr>
      <vt:lpstr>Close_time</vt:lpstr>
      <vt:lpstr>Control_1</vt:lpstr>
      <vt:lpstr>Control_10</vt:lpstr>
      <vt:lpstr>Control_2</vt:lpstr>
      <vt:lpstr>Control_3</vt:lpstr>
      <vt:lpstr>Control_4</vt:lpstr>
      <vt:lpstr>Control_5</vt:lpstr>
      <vt:lpstr>Control_6</vt:lpstr>
      <vt:lpstr>Control_7</vt:lpstr>
      <vt:lpstr>Control_8</vt:lpstr>
      <vt:lpstr>Control_9</vt:lpstr>
      <vt:lpstr>Distance</vt:lpstr>
      <vt:lpstr>Establishment_1</vt:lpstr>
      <vt:lpstr>Establishment_2</vt:lpstr>
      <vt:lpstr>Establishment_3</vt:lpstr>
      <vt:lpstr>Locale</vt:lpstr>
      <vt:lpstr>Max_time</vt:lpstr>
      <vt:lpstr>Open</vt:lpstr>
      <vt:lpstr>Open_time</vt:lpstr>
      <vt:lpstr>'Control Card #1'!Print_Titles</vt:lpstr>
      <vt:lpstr>'Control Card #2'!Print_Titles</vt:lpstr>
      <vt:lpstr>Start_date</vt:lpstr>
      <vt:lpstr>Start_time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Stephen Hinde</dc:creator>
  <cp:keywords/>
  <dc:description/>
  <cp:lastModifiedBy>Colin Fingler</cp:lastModifiedBy>
  <cp:revision/>
  <cp:lastPrinted>2021-08-03T20:59:59Z</cp:lastPrinted>
  <dcterms:created xsi:type="dcterms:W3CDTF">1997-11-12T04:43:39Z</dcterms:created>
  <dcterms:modified xsi:type="dcterms:W3CDTF">2021-08-03T21:00:24Z</dcterms:modified>
  <cp:category/>
  <cp:contentStatus/>
</cp:coreProperties>
</file>