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4/5403 Veloce/"/>
    </mc:Choice>
  </mc:AlternateContent>
  <xr:revisionPtr revIDLastSave="0" documentId="13_ncr:1_{87EAD298-C8F2-1B45-90A8-8631413B335B}" xr6:coauthVersionLast="36" xr6:coauthVersionMax="36" xr10:uidLastSave="{00000000-0000-0000-0000-000000000000}"/>
  <bookViews>
    <workbookView xWindow="0" yWindow="500" windowWidth="25600" windowHeight="15500" tabRatio="509" xr2:uid="{00000000-000D-0000-FFFF-FFFF00000000}"/>
  </bookViews>
  <sheets>
    <sheet name="Control Entry" sheetId="1" r:id="rId1"/>
    <sheet name="Card #1" sheetId="7" r:id="rId2"/>
  </sheets>
  <definedNames>
    <definedName name="Address_1" localSheetId="1">#REF!</definedName>
    <definedName name="Address_1">#REF!</definedName>
    <definedName name="Address_2" localSheetId="1">#REF!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'Control Entry'!#REF!</definedName>
    <definedName name="Control_12" localSheetId="1">'Control Entry'!#REF!</definedName>
    <definedName name="Control_12">'Control Entry'!#REF!</definedName>
    <definedName name="Control_13" localSheetId="1">'Control Entry'!#REF!</definedName>
    <definedName name="Control_13">'Control Entry'!#REF!</definedName>
    <definedName name="Control_14" localSheetId="1">'Control Entry'!#REF!</definedName>
    <definedName name="Control_14">'Control Entry'!#REF!</definedName>
    <definedName name="Control_15" localSheetId="1">'Control Entry'!#REF!</definedName>
    <definedName name="Control_15">'Control Entry'!#REF!</definedName>
    <definedName name="Control_16" localSheetId="1">'Control Entry'!#REF!</definedName>
    <definedName name="Control_16">'Control Entry'!#REF!</definedName>
    <definedName name="Control_17" localSheetId="1">'Control Entry'!#REF!</definedName>
    <definedName name="Control_17">'Control Entry'!#REF!</definedName>
    <definedName name="Control_18" localSheetId="1">'Control Entry'!#REF!</definedName>
    <definedName name="Control_18">'Control Entry'!#REF!</definedName>
    <definedName name="Control_19" localSheetId="1">'Control Entry'!#REF!</definedName>
    <definedName name="Control_19">'Control Entry'!#REF!</definedName>
    <definedName name="Control_2">'Control Entry'!$D$16:$O$16</definedName>
    <definedName name="Control_20" localSheetId="1">'Control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#REF!</definedName>
    <definedName name="Distance">'Control Entry'!$D$15:$D$24</definedName>
    <definedName name="email" localSheetId="1">#REF!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#REF!</definedName>
    <definedName name="First_Name" localSheetId="1">#REF!</definedName>
    <definedName name="First_Name">#REF!</definedName>
    <definedName name="Home_telephone" localSheetId="1">#REF!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#REF!</definedName>
    <definedName name="_xlnm.Print_Area" localSheetId="1">'Card #1'!$A$1:$K$55</definedName>
    <definedName name="Province_State" localSheetId="1">#REF!</definedName>
    <definedName name="Province_State">#REF!</definedName>
    <definedName name="Start_date">'Control Entry'!$B$12</definedName>
    <definedName name="Start_time">'Control Entry'!$B$13</definedName>
    <definedName name="surname" localSheetId="1">#REF!</definedName>
    <definedName name="surname">#REF!</definedName>
    <definedName name="Work_telephone" localSheetId="1">#REF!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L7" i="1" l="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M16" i="1" l="1"/>
  <c r="O16" i="1" s="1"/>
  <c r="C22" i="7"/>
  <c r="C23" i="7"/>
  <c r="C21" i="7"/>
  <c r="B7" i="1"/>
  <c r="M21" i="1" s="1"/>
  <c r="O21" i="1" s="1"/>
  <c r="M19" i="1"/>
  <c r="O19" i="1" s="1"/>
  <c r="M18" i="1"/>
  <c r="O18" i="1" s="1"/>
  <c r="M17" i="1"/>
  <c r="O17" i="1" s="1"/>
  <c r="M15" i="1"/>
  <c r="O15" i="1" s="1"/>
  <c r="N18" i="1"/>
  <c r="N22" i="1"/>
  <c r="N17" i="1"/>
  <c r="N21" i="1"/>
  <c r="N24" i="1"/>
  <c r="N16" i="1"/>
  <c r="N20" i="1"/>
  <c r="N19" i="1"/>
  <c r="N23" i="1"/>
  <c r="M24" i="1" l="1"/>
  <c r="O24" i="1" s="1"/>
  <c r="D50" i="7" s="1"/>
  <c r="M23" i="1"/>
  <c r="O23" i="1" s="1"/>
  <c r="D47" i="7" s="1"/>
  <c r="M20" i="1"/>
  <c r="O20" i="1" s="1"/>
  <c r="D37" i="7" s="1"/>
  <c r="M22" i="1"/>
  <c r="O22" i="1" s="1"/>
  <c r="D44" i="7"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48" i="7" l="1"/>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<sst xmlns="http://schemas.openxmlformats.org/spreadsheetml/2006/main" count="128" uniqueCount="107">
  <si>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</si>
  <si>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</si>
  <si>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</si>
  <si>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</si>
  <si>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</si>
  <si>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</si>
  <si>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</si>
  <si>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</si>
  <si>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</si>
  <si>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</si>
  <si>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</si>
  <si>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</si>
  <si>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</si>
  <si>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</si>
  <si>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</si>
  <si>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</si>
  <si>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</si>
  <si>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</si>
  <si>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</si>
  <si>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</si>
  <si>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</si>
  <si>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</si>
  <si>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</si>
  <si>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</si>
  <si>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</si>
  <si>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</si>
  <si>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</si>
  <si>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</si>
  <si>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</si>
  <si>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</si>
  <si>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</si>
  <si>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</si>
  <si>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</si>
  <si>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</si>
  <si>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</si>
  <si>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</si>
  <si>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</si>
  <si>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</si>
  <si>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</si>
  <si>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</si>
  <si>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</si>
  <si>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</si>
  <si>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</si>
  <si>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</si>
  <si>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</si>
  <si>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</si>
  <si>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</si>
  <si>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</si>
  <si>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</si>
  <si>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</si>
  <si>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</si>
  <si>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</si>
  <si>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</si>
  <si>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</si>
  <si>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</si>
  <si>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</si>
  <si>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</si>
  <si>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</si>
  <si>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</si>
  <si>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</si>
  <si>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</si>
  <si>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</si>
  <si>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</si>
  <si>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</si>
  <si>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</si>
  <si>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</si>
  <si>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</si>
  <si>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</si>
  <si>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</si>
  <si>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</si>
  <si>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Fill in the control distance.  The opening and closing times will be automatically calculated based on the start time and the brevet distance.  If you need more than 10 controls, or need an alternate start loction, use card #2, otherwise leave that section blank. (Similarly for cards #3 and #4.)</t>
  </si>
  <si>
    <t>Sidney Veloce</t>
  </si>
  <si>
    <t>‭(250) 880-5006‬</t>
  </si>
  <si>
    <t>SAANICH</t>
  </si>
  <si>
    <t>Information Control</t>
  </si>
  <si>
    <t>Stop sign</t>
  </si>
  <si>
    <t>Columbine @ Interurban</t>
  </si>
  <si>
    <t>Number of flagging tape on sign?</t>
  </si>
  <si>
    <t xml:space="preserve">0         1         2       </t>
  </si>
  <si>
    <t>METCHOSIN</t>
  </si>
  <si>
    <t>ESQUIMALT</t>
  </si>
  <si>
    <t>DEEP COVE</t>
  </si>
  <si>
    <t>Deep Cove Market</t>
  </si>
  <si>
    <t>or Coop Gas</t>
  </si>
  <si>
    <t>Birch @ W. Saanich</t>
  </si>
  <si>
    <t>CENTRAL SAANICH</t>
  </si>
  <si>
    <t>Keating Centre</t>
  </si>
  <si>
    <t>Your choice</t>
  </si>
  <si>
    <t>Keating Cross@Veyaness</t>
  </si>
  <si>
    <t>OAK BAY</t>
  </si>
  <si>
    <t>Hampshire @ McNeill</t>
  </si>
  <si>
    <t>CADBORO BAY</t>
  </si>
  <si>
    <t>Arbutus @ Telegraph Bay</t>
  </si>
  <si>
    <t>VICTORIA</t>
  </si>
  <si>
    <t>St. Lawrence @ Superior</t>
  </si>
  <si>
    <t>SIDNEY</t>
  </si>
  <si>
    <t>Tim Hortons</t>
  </si>
  <si>
    <t xml:space="preserve"> 2343 Beacon Ave</t>
  </si>
  <si>
    <t>self sign if closed</t>
  </si>
  <si>
    <t>2243 Beacon Ave</t>
  </si>
  <si>
    <t>Lombard @ Galloping Goose Trail</t>
  </si>
  <si>
    <t>Warning.      Yield.      Stop</t>
  </si>
  <si>
    <t>Type of sign on trail to cross Lombard?</t>
  </si>
  <si>
    <t>Fence, farside of crosswalk</t>
  </si>
  <si>
    <t xml:space="preserve">E&amp;N Trail @ Catherine St </t>
  </si>
  <si>
    <t>Public hearing sign</t>
  </si>
  <si>
    <t>Time of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</si>
</sst>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58">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Protection="1"/>
    <xf numFmtId="0" fontId="0" fillId="0" borderId="0"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10" fillId="0" borderId="0" xfId="0" applyFont="1" applyBorder="1" applyAlignment="1" applyProtection="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Border="1" applyAlignment="1">
      <alignment horizontal="center"/>
    </xf>
    <xf numFmtId="0" fontId="10" fillId="0" borderId="0" xfId="0" applyFont="1" applyBorder="1" applyAlignment="1">
      <alignment horizontal="center"/>
    </xf>
    <xf numFmtId="18" fontId="20" fillId="0" borderId="0" xfId="0" applyNumberFormat="1" applyFont="1" applyBorder="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0" fontId="10" fillId="0" borderId="0" xfId="0" applyFont="1" applyAlignment="1">
      <alignment horizontal="center"/>
    </xf>
    <xf numFmtId="167" fontId="0" fillId="0" borderId="0" xfId="0" applyNumberFormat="1"/>
    <xf numFmtId="0" fontId="9" fillId="0" borderId="0" xfId="0" applyFont="1" applyAlignme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applyAlignment="1"/>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applyAlignment="1"/>
    <xf numFmtId="0" fontId="10" fillId="0" borderId="0" xfId="0" applyFont="1" applyAlignment="1">
      <alignment horizontal="right"/>
    </xf>
    <xf numFmtId="0" fontId="10" fillId="0" borderId="0" xfId="0" applyFont="1" applyBorder="1" applyAlignme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Border="1" applyAlignment="1">
      <alignment vertical="top"/>
    </xf>
    <xf numFmtId="0" fontId="0" fillId="0" borderId="0" xfId="0" applyBorder="1" applyAlignment="1">
      <alignment vertical="top"/>
    </xf>
    <xf numFmtId="0" fontId="11" fillId="0" borderId="0" xfId="0" applyFont="1" applyAlignment="1">
      <alignment horizontal="right" vertical="center"/>
    </xf>
    <xf numFmtId="0" fontId="5" fillId="0" borderId="0" xfId="0" applyFont="1" applyBorder="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10" fillId="0" borderId="0" xfId="0" applyFont="1" applyAlignment="1" applyProtection="1">
      <alignment horizontal="right"/>
    </xf>
    <xf numFmtId="0" fontId="0" fillId="0" borderId="18" xfId="0" applyBorder="1" applyAlignment="1" applyProtection="1">
      <protection locked="0"/>
    </xf>
    <xf numFmtId="0" fontId="0" fillId="0" borderId="0" xfId="0" applyBorder="1" applyAlignment="1" applyProtection="1">
      <protection locked="0"/>
    </xf>
    <xf numFmtId="0" fontId="28" fillId="0" borderId="0" xfId="0" applyFont="1" applyAlignment="1">
      <alignment horizontal="right" vertical="center"/>
    </xf>
    <xf numFmtId="0" fontId="16" fillId="0" borderId="0" xfId="0" applyFont="1" applyAlignment="1">
      <alignment vertical="top"/>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left" vertical="center"/>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Border="1" applyAlignment="1" applyProtection="1">
      <alignment horizontal="center"/>
      <protection locked="0"/>
    </xf>
    <xf numFmtId="0" fontId="16" fillId="0" borderId="0" xfId="0" applyFont="1" applyAlignment="1">
      <alignment vertical="center" wrapText="1"/>
    </xf>
    <xf numFmtId="0" fontId="0" fillId="0" borderId="0" xfId="0" applyBorder="1" applyAlignment="1">
      <alignment horizontal="left"/>
    </xf>
    <xf numFmtId="0" fontId="5" fillId="0" borderId="0" xfId="0" applyFont="1" applyAlignment="1">
      <alignment horizontal="right" vertical="top"/>
    </xf>
    <xf numFmtId="15" fontId="5" fillId="0" borderId="0" xfId="0" applyNumberFormat="1" applyFont="1" applyBorder="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Border="1" applyAlignme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0" fillId="0" borderId="0" xfId="0" applyFont="1" applyAlignment="1">
      <alignment horizontal="right" vertical="center"/>
    </xf>
    <xf numFmtId="15" fontId="0" fillId="0" borderId="0" xfId="0" applyNumberFormat="1" applyBorder="1" applyAlignment="1">
      <alignment horizontal="left" vertical="top"/>
    </xf>
    <xf numFmtId="0" fontId="0" fillId="0" borderId="0" xfId="0" applyBorder="1"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Border="1" applyAlignment="1">
      <alignment horizontal="right"/>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35" fillId="0" borderId="6" xfId="0" applyFont="1" applyBorder="1" applyAlignment="1" applyProtection="1">
      <alignment horizontal="center" vertical="top" wrapText="1"/>
      <protection locked="0"/>
    </xf>
    <xf numFmtId="0" fontId="35" fillId="0" borderId="0" xfId="0" applyFont="1" applyBorder="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showGridLines="0" tabSelected="1" zoomScale="140" zoomScaleNormal="140" zoomScalePageLayoutView="135" workbookViewId="0">
      <selection activeCell="B4" sqref="B4"/>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16" t="s">
        <v>56</v>
      </c>
      <c r="B1" s="116"/>
      <c r="C1" s="116"/>
      <c r="D1" s="116"/>
      <c r="E1" s="116"/>
      <c r="F1" s="116"/>
      <c r="G1" s="116"/>
      <c r="H1" s="49" t="s">
        <v>53</v>
      </c>
      <c r="Q1" s="118" t="s">
        <v>55</v>
      </c>
      <c r="R1" s="118"/>
      <c r="S1" s="118"/>
      <c r="T1" s="118"/>
      <c r="U1" s="118"/>
      <c r="V1" s="118"/>
      <c r="W1" s="118"/>
      <c r="X1" s="118"/>
      <c r="Y1" s="118"/>
      <c r="Z1" s="118"/>
      <c r="AA1" s="118"/>
      <c r="AB1" s="118"/>
      <c r="AC1" s="118"/>
      <c r="AD1" s="118"/>
      <c r="AE1" s="118"/>
      <c r="AF1" s="118"/>
      <c r="AG1" s="101"/>
    </row>
    <row r="2" spans="1:33" ht="13" customHeight="1" thickBot="1" x14ac:dyDescent="0.2">
      <c r="H2" s="50"/>
      <c r="I2" s="50"/>
      <c r="Q2" s="118"/>
      <c r="R2" s="118"/>
      <c r="S2" s="118"/>
      <c r="T2" s="118"/>
      <c r="U2" s="118"/>
      <c r="V2" s="118"/>
      <c r="W2" s="118"/>
      <c r="X2" s="118"/>
      <c r="Y2" s="118"/>
      <c r="Z2" s="118"/>
      <c r="AA2" s="118"/>
      <c r="AB2" s="118"/>
      <c r="AC2" s="118"/>
      <c r="AD2" s="118"/>
      <c r="AE2" s="118"/>
      <c r="AF2" s="118"/>
      <c r="AG2" s="101"/>
    </row>
    <row r="3" spans="1:33" s="55" customFormat="1" ht="13" customHeight="1" thickBot="1" x14ac:dyDescent="0.2">
      <c r="A3" s="53" t="s">
        <v>52</v>
      </c>
      <c r="B3" s="85">
        <v>45167</v>
      </c>
      <c r="C3" s="54"/>
      <c r="D3" s="54"/>
      <c r="G3" s="54"/>
      <c r="H3" s="56"/>
      <c r="I3" s="56"/>
      <c r="Q3" s="118"/>
      <c r="R3" s="118"/>
      <c r="S3" s="118"/>
      <c r="T3" s="118"/>
      <c r="U3" s="118"/>
      <c r="V3" s="118"/>
      <c r="W3" s="118"/>
      <c r="X3" s="118"/>
      <c r="Y3" s="118"/>
      <c r="Z3" s="118"/>
      <c r="AA3" s="118"/>
      <c r="AB3" s="118"/>
      <c r="AC3" s="118"/>
      <c r="AD3" s="118"/>
      <c r="AE3" s="118"/>
      <c r="AF3" s="118"/>
      <c r="AG3" s="101"/>
    </row>
    <row r="4" spans="1:33" ht="13" customHeight="1" x14ac:dyDescent="0.15">
      <c r="A4" s="47" t="s">
        <v>54</v>
      </c>
      <c r="B4" s="52">
        <v>45381</v>
      </c>
      <c r="C4" s="48"/>
      <c r="D4" s="48"/>
      <c r="G4" s="48"/>
      <c r="H4" s="50"/>
      <c r="I4" s="50"/>
      <c r="Q4" s="118"/>
      <c r="R4" s="118"/>
      <c r="S4" s="118"/>
      <c r="T4" s="118"/>
      <c r="U4" s="118"/>
      <c r="V4" s="118"/>
      <c r="W4" s="118"/>
      <c r="X4" s="118"/>
      <c r="Y4" s="118"/>
      <c r="Z4" s="118"/>
      <c r="AA4" s="118"/>
      <c r="AB4" s="118"/>
      <c r="AC4" s="118"/>
      <c r="AD4" s="118"/>
      <c r="AE4" s="118"/>
      <c r="AF4" s="118"/>
      <c r="AG4" s="101"/>
    </row>
    <row r="5" spans="1:33" ht="7" customHeight="1" thickBot="1" x14ac:dyDescent="0.2">
      <c r="H5" s="50"/>
      <c r="I5" s="50"/>
      <c r="Q5" s="101"/>
      <c r="R5" s="101"/>
      <c r="S5" s="101"/>
      <c r="T5" s="101"/>
      <c r="U5" s="101"/>
      <c r="V5" s="101"/>
      <c r="W5" s="101"/>
      <c r="X5" s="101"/>
      <c r="Y5" s="101"/>
      <c r="Z5" s="101"/>
      <c r="AA5" s="101"/>
      <c r="AB5" s="101"/>
      <c r="AC5" s="101"/>
      <c r="AD5" s="101"/>
      <c r="AE5" s="101"/>
      <c r="AF5" s="101"/>
      <c r="AG5" s="101"/>
    </row>
    <row r="6" spans="1:33" ht="18" x14ac:dyDescent="0.2">
      <c r="A6" s="10" t="s">
        <v>15</v>
      </c>
      <c r="B6" s="33">
        <v>300</v>
      </c>
      <c r="C6">
        <f>IF(Brevet_Length&gt;=1200,Brevet_Length,IF(Brevet_Length&gt;=1000,1000,IF(Brevet_Length&gt;=600,600,IF(Brevet_Length&gt;=400,400,IF(Brevet_Length&gt;=300,300,IF(Brevet_Length&gt;=200,200,100))))))</f>
        <v>300</v>
      </c>
      <c r="J6" s="119" t="s">
        <v>40</v>
      </c>
      <c r="K6" s="119"/>
      <c r="Q6" s="99" t="s">
        <v>41</v>
      </c>
      <c r="R6" s="99"/>
      <c r="S6" s="99"/>
      <c r="T6" s="99"/>
      <c r="U6" s="99"/>
      <c r="V6" s="99"/>
      <c r="W6" s="99"/>
      <c r="X6" s="100"/>
      <c r="Y6" s="100"/>
      <c r="Z6" s="100"/>
    </row>
    <row r="7" spans="1:33" ht="14" x14ac:dyDescent="0.15">
      <c r="A7" s="11" t="s">
        <v>16</v>
      </c>
      <c r="B7" s="97">
        <f>IF(brevet=1200,90,IF(brevet=1000,75,IF(brevet=600,40,IF(brevet=400,27,IF(brevet=300,20,IF(brevet=200,13.5,IF(brevet&lt;200,L7,0)))))))</f>
        <v>20</v>
      </c>
      <c r="L7">
        <f>IF(Brevet_Length=150,10.5,IF(Brevet_Length=100,7,IF(Brevet_Length=50,3.5,IF(Brevet_Length=25, 2,0))))</f>
        <v>0</v>
      </c>
      <c r="Q7" s="100" t="s">
        <v>42</v>
      </c>
      <c r="R7" s="100"/>
      <c r="S7" s="100"/>
      <c r="T7" s="100"/>
      <c r="U7" s="100"/>
      <c r="V7" s="100"/>
      <c r="W7" s="100"/>
      <c r="X7" s="100"/>
      <c r="Y7" s="100"/>
      <c r="Z7" s="100"/>
    </row>
    <row r="8" spans="1:33" ht="18" x14ac:dyDescent="0.2">
      <c r="A8" s="96" t="s">
        <v>17</v>
      </c>
      <c r="B8" s="117" t="s">
        <v>71</v>
      </c>
      <c r="C8" s="117"/>
      <c r="D8" s="117"/>
      <c r="E8" s="117"/>
      <c r="F8" s="117"/>
      <c r="G8" s="98"/>
      <c r="H8" s="98"/>
      <c r="I8" s="18"/>
      <c r="J8" s="18"/>
      <c r="K8" s="18"/>
      <c r="O8" s="19"/>
      <c r="P8" s="19"/>
      <c r="Q8" s="99" t="s">
        <v>43</v>
      </c>
      <c r="R8" s="100"/>
      <c r="S8" s="100"/>
      <c r="T8" s="100"/>
      <c r="U8" s="100"/>
      <c r="V8" s="100"/>
      <c r="W8" s="100"/>
      <c r="X8" s="100"/>
      <c r="Y8" s="100"/>
      <c r="Z8" s="100"/>
    </row>
    <row r="9" spans="1:33" ht="18" x14ac:dyDescent="0.2">
      <c r="A9" s="11" t="s">
        <v>18</v>
      </c>
      <c r="B9" s="34">
        <v>5403</v>
      </c>
      <c r="C9" s="15"/>
      <c r="F9" s="16"/>
      <c r="G9" s="16"/>
      <c r="H9" s="16"/>
      <c r="I9" s="16"/>
      <c r="J9" s="16"/>
      <c r="K9" s="16"/>
      <c r="Q9" s="99" t="s">
        <v>44</v>
      </c>
      <c r="R9" s="100"/>
      <c r="S9" s="100"/>
      <c r="T9" s="100"/>
      <c r="U9" s="100"/>
      <c r="V9" s="100"/>
      <c r="W9" s="100"/>
      <c r="X9" s="100"/>
      <c r="Y9" s="100"/>
      <c r="Z9" s="100"/>
    </row>
    <row r="10" spans="1:33" ht="18" x14ac:dyDescent="0.2">
      <c r="A10" s="21" t="s">
        <v>32</v>
      </c>
      <c r="B10" s="35">
        <v>45395</v>
      </c>
      <c r="E10" s="93" t="s">
        <v>67</v>
      </c>
      <c r="F10" s="95" t="s">
        <v>72</v>
      </c>
      <c r="Q10" s="99" t="s">
        <v>45</v>
      </c>
      <c r="R10" s="100"/>
      <c r="S10" s="100"/>
      <c r="T10" s="100"/>
      <c r="U10" s="100"/>
      <c r="V10" s="100"/>
      <c r="W10" s="100"/>
      <c r="X10" s="100"/>
      <c r="Y10" s="100"/>
      <c r="Z10" s="100"/>
    </row>
    <row r="11" spans="1:33" ht="6" customHeight="1" x14ac:dyDescent="0.15">
      <c r="B11" s="51"/>
      <c r="Q11" s="100"/>
      <c r="R11" s="100"/>
      <c r="S11" s="100"/>
      <c r="T11" s="100"/>
      <c r="U11" s="100"/>
      <c r="V11" s="100"/>
      <c r="W11" s="100"/>
      <c r="X11" s="100"/>
      <c r="Y11" s="100"/>
      <c r="Z11" s="100"/>
    </row>
    <row r="12" spans="1:33" ht="18" customHeight="1" thickBot="1" x14ac:dyDescent="0.25">
      <c r="A12" s="45" t="s">
        <v>19</v>
      </c>
      <c r="B12" s="46">
        <v>45395</v>
      </c>
      <c r="Q12" s="99" t="s">
        <v>49</v>
      </c>
      <c r="R12" s="100"/>
      <c r="S12" s="100"/>
      <c r="T12" s="100"/>
      <c r="U12" s="100"/>
      <c r="V12" s="100"/>
      <c r="W12" s="100"/>
      <c r="X12" s="100"/>
      <c r="Y12" s="100"/>
      <c r="Z12" s="100"/>
    </row>
    <row r="13" spans="1:33" ht="19" thickBot="1" x14ac:dyDescent="0.25">
      <c r="A13" s="9" t="s">
        <v>20</v>
      </c>
      <c r="B13" s="36">
        <v>0.25</v>
      </c>
      <c r="D13" s="120" t="s">
        <v>51</v>
      </c>
      <c r="E13" s="121"/>
      <c r="F13" s="121"/>
      <c r="G13" s="121"/>
      <c r="H13" s="121"/>
      <c r="I13" s="122" t="s">
        <v>47</v>
      </c>
      <c r="J13" s="121"/>
      <c r="K13" s="123"/>
      <c r="Q13" s="99" t="s">
        <v>48</v>
      </c>
      <c r="R13" s="100"/>
      <c r="S13" s="100"/>
      <c r="T13" s="100"/>
      <c r="U13" s="100"/>
      <c r="V13" s="100"/>
      <c r="W13" s="100"/>
      <c r="X13" s="100"/>
      <c r="Y13" s="100"/>
      <c r="Z13" s="100"/>
    </row>
    <row r="14" spans="1:33" ht="15" thickBot="1" x14ac:dyDescent="0.2">
      <c r="D14" s="5" t="s">
        <v>21</v>
      </c>
      <c r="E14" s="6" t="s">
        <v>22</v>
      </c>
      <c r="F14" s="27" t="s">
        <v>23</v>
      </c>
      <c r="G14" s="27" t="s">
        <v>24</v>
      </c>
      <c r="H14" s="28" t="s">
        <v>25</v>
      </c>
      <c r="I14" s="6" t="s">
        <v>37</v>
      </c>
      <c r="J14" s="6" t="s">
        <v>38</v>
      </c>
      <c r="K14" s="7" t="s">
        <v>39</v>
      </c>
      <c r="L14" t="s">
        <v>0</v>
      </c>
      <c r="M14" t="s">
        <v>1</v>
      </c>
      <c r="N14" t="s">
        <v>2</v>
      </c>
      <c r="O14" t="s">
        <v>3</v>
      </c>
      <c r="Q14" s="99" t="s">
        <v>68</v>
      </c>
      <c r="R14" s="100"/>
      <c r="S14" s="100"/>
      <c r="T14" s="100"/>
      <c r="U14" s="100"/>
      <c r="V14" s="100"/>
      <c r="W14" s="100"/>
      <c r="X14" s="100"/>
      <c r="Y14" s="100"/>
      <c r="Z14" s="100"/>
    </row>
    <row r="15" spans="1:33" ht="17" customHeight="1" x14ac:dyDescent="0.15">
      <c r="C15" s="2" t="s">
        <v>4</v>
      </c>
      <c r="D15" s="17">
        <v>0</v>
      </c>
      <c r="E15" s="37" t="s">
        <v>95</v>
      </c>
      <c r="F15" s="38" t="s">
        <v>96</v>
      </c>
      <c r="G15" s="38" t="s">
        <v>99</v>
      </c>
      <c r="H15" s="39"/>
      <c r="I15" s="38"/>
      <c r="J15" s="38"/>
      <c r="K15" s="39"/>
      <c r="L15" s="3">
        <f>Start_date+Start_time</f>
        <v>45395.25</v>
      </c>
      <c r="M15" s="3">
        <f>L15+"1:00"</f>
        <v>45395.291666666664</v>
      </c>
      <c r="N15" s="4">
        <f>IF(ISBLANK(Distance),"",Open Control_1)</f>
        <v>45395.25</v>
      </c>
      <c r="O15" s="4">
        <f>IF(ISBLANK(Distance),"",Close Control_1)</f>
        <v>45395.291666666664</v>
      </c>
      <c r="Q15" s="99" t="s">
        <v>70</v>
      </c>
      <c r="R15" s="100"/>
      <c r="S15" s="100"/>
      <c r="T15" s="100"/>
      <c r="U15" s="100"/>
      <c r="V15" s="100"/>
      <c r="W15" s="100"/>
      <c r="X15" s="100"/>
      <c r="Y15" s="100"/>
      <c r="Z15" s="100"/>
    </row>
    <row r="16" spans="1:33" ht="17" customHeight="1" x14ac:dyDescent="0.15">
      <c r="B16" s="42"/>
      <c r="C16" s="2" t="s">
        <v>5</v>
      </c>
      <c r="D16" s="17">
        <v>25</v>
      </c>
      <c r="E16" s="37" t="s">
        <v>73</v>
      </c>
      <c r="F16" s="38" t="s">
        <v>74</v>
      </c>
      <c r="G16" s="38" t="s">
        <v>75</v>
      </c>
      <c r="H16" s="39" t="s">
        <v>76</v>
      </c>
      <c r="I16" s="38" t="s">
        <v>77</v>
      </c>
      <c r="J16" s="38"/>
      <c r="K16" s="39" t="s">
        <v>78</v>
      </c>
      <c r="L16">
        <f>IF(ISBLANK(Distance),"",IF(Distance&gt;1000,(Distance-1000)/26+33.0847,(IF(Distance&gt;600,(Distance-600)/28+18.799,(IF(Distance&gt;400,(Distance-400)/30+12.1324,(IF(Distance&gt;200,(Distance-200)/32+5.8824,Distance/34))))))))</f>
        <v>0.73529411764705888</v>
      </c>
      <c r="M16">
        <f>IF(ISBLANK(Distance),"",IF(Distance&gt;=brevet,D16200IF(brevet&gt;1200,(brevet-1200)*75/1000+90,Max_time),IF(Distance&gt;1200,(Distance-1200)*75/1000+90,IF(Distance&gt;1000,(Distance-1000)/(1000/75)+75,IF(Distance&gt;600,(Distance-600)/(400/35)+40,IF(Distance&lt;=60,(Distance/20+1),Distance/15))))))</f>
        <v>2.25</v>
      </c>
      <c r="N16" s="4">
        <f>IF(ISBLANK(Distance),"",Open_time Control_1+(INT(Open)&amp;":"&amp;IF(ROUND(((Open-INT(Open))*60),0)&lt;10,0,"")&amp;ROUND(((Open-INT(Open))*60),0)))</f>
        <v>45395.280555555553</v>
      </c>
      <c r="O16" s="4">
        <f>IF(ISBLANK(Distance),"",Open_time Control_1+(INT(Close)&amp;":"&amp;IF(ROUND(((Close-INT(Close))*60),0)&lt;10,0,"")&amp;ROUND(((Close-INT(Close))*60),0)))</f>
        <v>45395.34375</v>
      </c>
      <c r="Q16" s="99" t="s">
        <v>69</v>
      </c>
      <c r="R16" s="100"/>
      <c r="S16" s="100"/>
      <c r="T16" s="100"/>
      <c r="U16" s="100"/>
      <c r="V16" s="100"/>
      <c r="W16" s="100"/>
      <c r="X16" s="100"/>
      <c r="Y16" s="100"/>
      <c r="Z16" s="100"/>
    </row>
    <row r="17" spans="2:26" ht="17" customHeight="1" x14ac:dyDescent="0.15">
      <c r="B17" s="42"/>
      <c r="C17" s="2" t="s">
        <v>6</v>
      </c>
      <c r="D17" s="17">
        <v>64.8</v>
      </c>
      <c r="E17" s="37" t="s">
        <v>79</v>
      </c>
      <c r="F17" s="38" t="s">
        <v>74</v>
      </c>
      <c r="G17" s="38" t="s">
        <v>75</v>
      </c>
      <c r="H17" s="39" t="s">
        <v>100</v>
      </c>
      <c r="I17" s="38" t="s">
        <v>102</v>
      </c>
      <c r="J17" s="38"/>
      <c r="K17" s="39" t="s">
        <v>101</v>
      </c>
      <c r="L17">
        <f>IF(ISBLANK(Distance),"",IF(Distance&gt;1000,(Distance-1000)/26+33.0847,(IF(Distance&gt;600,(Distance-600)/28+18.799,(IF(Distance&gt;400,(Distance-400)/30+12.1324,(IF(Distance&gt;200,(Distance-200)/32+5.8824,Distance/34))))))))</f>
        <v>1.9058823529411764</v>
      </c>
      <c r="M17">
        <f t="shared" ref="M17:M24" si="0">IF(ISBLANK(Distance),"",IF(Distance&gt;=brevet,IF(brevet&gt;1200,(brevet-1200)*75/1000+90,Max_time),IF(Distance&gt;1200,(Distance-1200)*75/1000+90,IF(Distance&gt;1000,(Distance-1000)/(1000/75)+75,IF(Distance&gt;600,(Distance-600)/(400/35)+40,IF(Distance&lt;=60,(Distance/20+1),Distance/15))))))</f>
        <v>4.3199999999999994</v>
      </c>
      <c r="N17" s="4">
        <f>IF(ISBLANK(Distance),"",Open_time Control_1+(INT(Open)&amp;":"&amp;IF(ROUND(((Open-INT(Open))*60),0)&lt;10,0,"")&amp;ROUND(((Open-INT(Open))*60),0)))</f>
        <v>45395.32916666667</v>
      </c>
      <c r="O17" s="4">
        <f>IF(ISBLANK(Distance),"",Open_time Control_1+(INT(Close)&amp;":"&amp;IF(ROUND(((Close-INT(Close))*60),0)&lt;10,0,"")&amp;ROUND(((Close-INT(Close))*60),0)))</f>
        <v>45395.429861111108</v>
      </c>
      <c r="Q17" s="99" t="s">
        <v>46</v>
      </c>
      <c r="R17" s="100"/>
      <c r="S17" s="100"/>
      <c r="T17" s="100"/>
      <c r="U17" s="100"/>
      <c r="V17" s="100"/>
      <c r="W17" s="100"/>
      <c r="X17" s="100"/>
      <c r="Y17" s="100"/>
      <c r="Z17" s="100"/>
    </row>
    <row r="18" spans="2:26" ht="17" customHeight="1" x14ac:dyDescent="0.15">
      <c r="B18" s="42"/>
      <c r="C18" s="2" t="s">
        <v>7</v>
      </c>
      <c r="D18" s="17">
        <v>93.2</v>
      </c>
      <c r="E18" s="37" t="s">
        <v>80</v>
      </c>
      <c r="F18" s="38" t="s">
        <v>74</v>
      </c>
      <c r="G18" s="38" t="s">
        <v>103</v>
      </c>
      <c r="H18" s="39" t="s">
        <v>104</v>
      </c>
      <c r="I18" s="38" t="s">
        <v>105</v>
      </c>
      <c r="J18" s="38" t="s">
        <v>106</v>
      </c>
      <c r="K18" s="39"/>
      <c r="L18">
        <f t="shared" ref="L18:L24" si="1">IF(ISBLANK(Distance),"",IF(Distance&gt;1000,(Distance-1000)/26+33.0847,(IF(Distance&gt;600,(Distance-600)/28+18.799,(IF(Distance&gt;400,(Distance-400)/30+12.1324,(IF(Distance&gt;200,(Distance-200)/32+5.8824,Distance/34))))))))</f>
        <v>2.7411764705882353</v>
      </c>
      <c r="M18">
        <f t="shared" si="0"/>
        <v>6.2133333333333338</v>
      </c>
      <c r="N18" s="4">
        <f>IF(ISBLANK(Distance),"",Open_time Control_1+(INT(Open)&amp;":"&amp;IF(ROUND(((Open-INT(Open))*60),0)&lt;10,0,"")&amp;ROUND(((Open-INT(Open))*60),0)))</f>
        <v>45395.363888888889</v>
      </c>
      <c r="O18" s="4">
        <f>IF(ISBLANK(Distance),"",Open_time Control_1+(INT(Close)&amp;":"&amp;IF(ROUND(((Close-INT(Close))*60),0)&lt;10,0,"")&amp;ROUND(((Close-INT(Close))*60),0)))</f>
        <v>45395.509027777778</v>
      </c>
    </row>
    <row r="19" spans="2:26" ht="17" customHeight="1" x14ac:dyDescent="0.15">
      <c r="B19" s="42"/>
      <c r="C19" s="2" t="s">
        <v>8</v>
      </c>
      <c r="D19" s="17">
        <v>139.69999999999999</v>
      </c>
      <c r="E19" s="37" t="s">
        <v>81</v>
      </c>
      <c r="F19" s="38" t="s">
        <v>82</v>
      </c>
      <c r="G19" s="38" t="s">
        <v>83</v>
      </c>
      <c r="H19" s="39" t="s">
        <v>84</v>
      </c>
      <c r="I19" s="38"/>
      <c r="J19" s="38"/>
      <c r="K19" s="39"/>
      <c r="L19">
        <f t="shared" si="1"/>
        <v>4.1088235294117643</v>
      </c>
      <c r="M19">
        <f t="shared" si="0"/>
        <v>9.3133333333333326</v>
      </c>
      <c r="N19" s="4">
        <f>IF(ISBLANK(Distance),"",Open_time Control_1+(INT(Open)&amp;":"&amp;IF(ROUND(((Open-INT(Open))*60),0)&lt;10,0,"")&amp;ROUND(((Open-INT(Open))*60),0)))</f>
        <v>45395.421527777777</v>
      </c>
      <c r="O19" s="4">
        <f>IF(ISBLANK(Distance),"",Open_time Control_1+(INT(Close)&amp;":"&amp;IF(ROUND(((Close-INT(Close))*60),0)&lt;10,0,"")&amp;ROUND(((Close-INT(Close))*60),0)))</f>
        <v>45395.638194444444</v>
      </c>
      <c r="Q19" s="44"/>
    </row>
    <row r="20" spans="2:26" ht="17" customHeight="1" x14ac:dyDescent="0.15">
      <c r="B20" s="42"/>
      <c r="C20" s="2" t="s">
        <v>9</v>
      </c>
      <c r="D20" s="17">
        <v>156.69999999999999</v>
      </c>
      <c r="E20" s="37" t="s">
        <v>85</v>
      </c>
      <c r="F20" s="38" t="s">
        <v>86</v>
      </c>
      <c r="G20" s="38" t="s">
        <v>87</v>
      </c>
      <c r="H20" s="39" t="s">
        <v>88</v>
      </c>
      <c r="I20" s="38"/>
      <c r="J20" s="38"/>
      <c r="K20" s="39"/>
      <c r="L20">
        <f t="shared" si="1"/>
        <v>4.6088235294117643</v>
      </c>
      <c r="M20">
        <f t="shared" si="0"/>
        <v>10.446666666666665</v>
      </c>
      <c r="N20" s="4">
        <f>IF(ISBLANK(Distance),"",Open_time Control_1+(INT(Open)&amp;":"&amp;IF(ROUND(((Open-INT(Open))*60),0)&lt;10,0,"")&amp;ROUND(((Open-INT(Open))*60),0)))</f>
        <v>45395.442361111112</v>
      </c>
      <c r="O20" s="4">
        <f>IF(ISBLANK(Distance),"",Open_time Control_1+(INT(Close)&amp;":"&amp;IF(ROUND(((Close-INT(Close))*60),0)&lt;10,0,"")&amp;ROUND(((Close-INT(Close))*60),0)))</f>
        <v>45395.685416666667</v>
      </c>
    </row>
    <row r="21" spans="2:26" ht="17" customHeight="1" x14ac:dyDescent="0.15">
      <c r="B21" s="42"/>
      <c r="C21" s="2" t="s">
        <v>10</v>
      </c>
      <c r="D21" s="17">
        <v>227.4</v>
      </c>
      <c r="E21" s="37" t="s">
        <v>89</v>
      </c>
      <c r="F21" s="38" t="s">
        <v>74</v>
      </c>
      <c r="G21" s="38" t="s">
        <v>75</v>
      </c>
      <c r="H21" s="39" t="s">
        <v>90</v>
      </c>
      <c r="I21" s="38" t="s">
        <v>77</v>
      </c>
      <c r="J21" s="38"/>
      <c r="K21" s="39" t="s">
        <v>78</v>
      </c>
      <c r="L21">
        <f t="shared" si="1"/>
        <v>6.7386499999999998</v>
      </c>
      <c r="M21">
        <f t="shared" si="0"/>
        <v>15.16</v>
      </c>
      <c r="N21" s="4">
        <f>IF(ISBLANK(Distance),"",Open_time Control_1+(INT(Open)&amp;":"&amp;IF(ROUND(((Open-INT(Open))*60),0)&lt;10,0,"")&amp;ROUND(((Open-INT(Open))*60),0)))</f>
        <v>45395.530555555553</v>
      </c>
      <c r="O21" s="4">
        <f>IF(ISBLANK(Distance),"",Open_time Control_1+(INT(Close)&amp;":"&amp;IF(ROUND(((Close-INT(Close))*60),0)&lt;10,0,"")&amp;ROUND(((Close-INT(Close))*60),0)))</f>
        <v>45395.881944444445</v>
      </c>
    </row>
    <row r="22" spans="2:26" ht="17" customHeight="1" x14ac:dyDescent="0.15">
      <c r="B22" s="42"/>
      <c r="C22" s="2" t="s">
        <v>11</v>
      </c>
      <c r="D22" s="17">
        <v>236</v>
      </c>
      <c r="E22" s="37" t="s">
        <v>91</v>
      </c>
      <c r="F22" s="38" t="s">
        <v>74</v>
      </c>
      <c r="G22" s="38" t="s">
        <v>75</v>
      </c>
      <c r="H22" s="39" t="s">
        <v>92</v>
      </c>
      <c r="I22" s="38" t="s">
        <v>77</v>
      </c>
      <c r="J22" s="38"/>
      <c r="K22" s="39" t="s">
        <v>78</v>
      </c>
      <c r="L22">
        <f t="shared" si="1"/>
        <v>7.0073999999999996</v>
      </c>
      <c r="M22">
        <f t="shared" si="0"/>
        <v>15.733333333333333</v>
      </c>
      <c r="N22" s="4">
        <f>IF(ISBLANK(Distance),"",Open_time Control_1+(INT(Open)&amp;":"&amp;IF(ROUND(((Open-INT(Open))*60),0)&lt;10,0,"")&amp;ROUND(((Open-INT(Open))*60),0)))</f>
        <v>45395.541666666664</v>
      </c>
      <c r="O22" s="4">
        <f>IF(ISBLANK(Distance),"",Open_time Control_1+(INT(Close)&amp;":"&amp;IF(ROUND(((Close-INT(Close))*60),0)&lt;10,0,"")&amp;ROUND(((Close-INT(Close))*60),0)))</f>
        <v>45395.905555555553</v>
      </c>
    </row>
    <row r="23" spans="2:26" ht="17" customHeight="1" x14ac:dyDescent="0.15">
      <c r="B23" s="42"/>
      <c r="C23" s="2" t="s">
        <v>12</v>
      </c>
      <c r="D23" s="17">
        <v>252.8</v>
      </c>
      <c r="E23" s="37" t="s">
        <v>93</v>
      </c>
      <c r="F23" s="38" t="s">
        <v>74</v>
      </c>
      <c r="G23" s="38" t="s">
        <v>75</v>
      </c>
      <c r="H23" s="39" t="s">
        <v>94</v>
      </c>
      <c r="I23" s="38" t="s">
        <v>77</v>
      </c>
      <c r="J23" s="38"/>
      <c r="K23" s="39" t="s">
        <v>78</v>
      </c>
      <c r="L23">
        <f t="shared" si="1"/>
        <v>7.5324</v>
      </c>
      <c r="M23">
        <f t="shared" si="0"/>
        <v>16.853333333333335</v>
      </c>
      <c r="N23" s="4">
        <f>IF(ISBLANK(Distance),"",Open_time Control_1+(INT(Open)&amp;":"&amp;IF(ROUND(((Open-INT(Open))*60),0)&lt;10,0,"")&amp;ROUND(((Open-INT(Open))*60),0)))</f>
        <v>45395.563888888886</v>
      </c>
      <c r="O23" s="4">
        <f>IF(ISBLANK(Distance),"",Open_time Control_1+(INT(Close)&amp;":"&amp;IF(ROUND(((Close-INT(Close))*60),0)&lt;10,0,"")&amp;ROUND(((Close-INT(Close))*60),0)))</f>
        <v>45395.95208333333</v>
      </c>
    </row>
    <row r="24" spans="2:26" ht="17" customHeight="1" thickBot="1" x14ac:dyDescent="0.2">
      <c r="B24" s="42"/>
      <c r="C24" s="2" t="s">
        <v>13</v>
      </c>
      <c r="D24" s="23">
        <v>301.39999999999998</v>
      </c>
      <c r="E24" s="40" t="s">
        <v>95</v>
      </c>
      <c r="F24" s="38" t="s">
        <v>96</v>
      </c>
      <c r="G24" s="38" t="s">
        <v>97</v>
      </c>
      <c r="H24" s="39"/>
      <c r="I24" s="39" t="s">
        <v>98</v>
      </c>
      <c r="J24" s="38"/>
      <c r="K24" s="39"/>
      <c r="L24">
        <f t="shared" si="1"/>
        <v>9.0511499999999998</v>
      </c>
      <c r="M24">
        <f t="shared" si="0"/>
        <v>20</v>
      </c>
      <c r="N24" s="4">
        <f>IF(ISBLANK(Distance),"",Open_time Control_1+(INT(Open)&amp;":"&amp;IF(ROUND(((Open-INT(Open))*60),0)&lt;10,0,"")&amp;ROUND(((Open-INT(Open))*60),0)))</f>
        <v>45395.627083333333</v>
      </c>
      <c r="O24" s="4">
        <f>IF(ISBLANK(Distance),"",Open_time Control_1+(INT(Close)&amp;":"&amp;IF(ROUND(((Close-INT(Close))*60),0)&lt;10,0,"")&amp;ROUND(((Close-INT(Close))*60),0)))</f>
        <v>45396.083333333336</v>
      </c>
    </row>
    <row r="25" spans="2:26" ht="7" customHeight="1" thickBot="1" x14ac:dyDescent="0.25">
      <c r="D25" s="29"/>
      <c r="E25" s="30"/>
      <c r="F25" s="31"/>
      <c r="G25" s="31"/>
      <c r="H25" s="31"/>
      <c r="I25" s="31"/>
      <c r="J25" s="31"/>
      <c r="K25" s="32"/>
      <c r="N25" s="4"/>
      <c r="O25" s="4"/>
    </row>
  </sheetData>
  <sheetProtection formatCells="0" selectLockedCells="1"/>
  <mergeCells count="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zoomScale="75" zoomScaleNormal="115" zoomScalePageLayoutView="75" workbookViewId="0">
      <selection activeCell="G31" sqref="G31:I31"/>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88"/>
      <c r="L1" s="88"/>
      <c r="M1" s="88"/>
    </row>
    <row r="2" spans="2:15" ht="18" x14ac:dyDescent="0.2">
      <c r="C2" s="144" t="s">
        <v>33</v>
      </c>
      <c r="D2" s="144"/>
      <c r="E2" s="144"/>
      <c r="F2" s="144"/>
      <c r="G2" s="63"/>
      <c r="H2" s="63"/>
      <c r="I2" s="91" t="s">
        <v>59</v>
      </c>
      <c r="J2" s="92">
        <f>'Control Entry'!B4</f>
        <v>45381</v>
      </c>
      <c r="K2" s="63"/>
      <c r="L2" s="63"/>
    </row>
    <row r="3" spans="2:15" ht="45" customHeight="1" x14ac:dyDescent="0.45">
      <c r="D3" s="12"/>
      <c r="E3" s="153" t="s">
        <v>29</v>
      </c>
      <c r="F3" s="153"/>
      <c r="G3" s="153"/>
      <c r="H3" s="153"/>
      <c r="I3" s="76" t="s">
        <v>61</v>
      </c>
      <c r="J3" s="84">
        <f>IF(ISBLANK(Brevet_Number),"",Brevet_Number)</f>
        <v>5403</v>
      </c>
      <c r="K3" s="43"/>
      <c r="L3" s="43"/>
    </row>
    <row r="4" spans="2:15" ht="20" customHeight="1" x14ac:dyDescent="0.15">
      <c r="C4" s="12"/>
      <c r="E4" s="154" t="str">
        <f>IF(ISBLANK(Brevet_Length),"",Brevet_Length&amp;" km Randonnée")</f>
        <v>300 km Randonnée</v>
      </c>
      <c r="F4" s="154"/>
      <c r="G4" s="154"/>
      <c r="H4" s="154"/>
      <c r="K4" s="58"/>
      <c r="L4" s="58"/>
    </row>
    <row r="5" spans="2:15" ht="20" customHeight="1" x14ac:dyDescent="0.2">
      <c r="D5" s="59"/>
      <c r="E5" s="152" t="str">
        <f>IF(ISBLANK(Brevet_Description),"",Brevet_Description)</f>
        <v>Sidney Veloce</v>
      </c>
      <c r="F5" s="152"/>
      <c r="G5" s="152"/>
      <c r="H5" s="152"/>
      <c r="I5" s="87"/>
      <c r="J5" s="59"/>
      <c r="K5" s="59"/>
      <c r="L5" s="59"/>
    </row>
    <row r="6" spans="2:15" ht="20" x14ac:dyDescent="0.2">
      <c r="D6" s="77"/>
      <c r="E6" s="152"/>
      <c r="F6" s="152"/>
      <c r="G6" s="152"/>
      <c r="H6" s="152"/>
      <c r="I6" s="87"/>
      <c r="J6" s="77"/>
      <c r="K6" s="59"/>
      <c r="L6" s="59"/>
    </row>
    <row r="7" spans="2:15" ht="25" customHeight="1" x14ac:dyDescent="0.15">
      <c r="C7" s="148"/>
      <c r="D7" s="148"/>
      <c r="E7" s="148"/>
      <c r="F7" s="148"/>
      <c r="H7" s="150"/>
    </row>
    <row r="8" spans="2:15" ht="21" thickBot="1" x14ac:dyDescent="0.25">
      <c r="B8" s="60" t="s">
        <v>62</v>
      </c>
      <c r="C8" s="149"/>
      <c r="D8" s="149"/>
      <c r="E8" s="149"/>
      <c r="F8" s="149"/>
      <c r="G8" s="20" t="s">
        <v>31</v>
      </c>
      <c r="H8" s="151"/>
      <c r="I8" s="61"/>
      <c r="J8" s="61"/>
      <c r="K8" s="61"/>
      <c r="L8" s="19"/>
    </row>
    <row r="9" spans="2:15" ht="22" customHeight="1" x14ac:dyDescent="0.15">
      <c r="B9" s="78"/>
      <c r="C9" s="78"/>
      <c r="D9" s="78"/>
      <c r="E9" s="78"/>
      <c r="F9" s="79"/>
      <c r="G9" s="80"/>
      <c r="H9" s="80"/>
      <c r="I9" s="80"/>
      <c r="J9" s="79"/>
    </row>
    <row r="10" spans="2:15" ht="20" customHeight="1" x14ac:dyDescent="0.15">
      <c r="B10" s="146" t="s">
        <v>34</v>
      </c>
      <c r="C10" s="146"/>
      <c r="D10" s="72" t="s">
        <v>35</v>
      </c>
      <c r="E10" s="147" t="s">
        <v>58</v>
      </c>
      <c r="F10" s="147"/>
      <c r="G10" s="147"/>
      <c r="H10" s="83"/>
      <c r="I10" s="67"/>
      <c r="J10" s="67"/>
      <c r="K10" s="22"/>
      <c r="L10" s="124"/>
      <c r="M10" s="124"/>
      <c r="N10" s="124"/>
      <c r="O10" s="124"/>
    </row>
    <row r="11" spans="2:15" ht="23" x14ac:dyDescent="0.15">
      <c r="B11" s="66"/>
      <c r="C11" s="66"/>
      <c r="D11" s="66"/>
      <c r="E11" s="66"/>
      <c r="F11" s="62"/>
      <c r="G11" s="68"/>
      <c r="H11" s="68"/>
      <c r="I11" s="68"/>
      <c r="J11" s="62"/>
    </row>
    <row r="12" spans="2:15" ht="21" thickBot="1" x14ac:dyDescent="0.25">
      <c r="D12" s="140" t="s">
        <v>19</v>
      </c>
      <c r="E12" s="140"/>
      <c r="F12" s="82">
        <f>IF(ISBLANK('Control Entry'!B12),"",'Control Entry'!B12)</f>
        <v>45395</v>
      </c>
      <c r="G12" s="86"/>
      <c r="H12" s="73" t="s">
        <v>64</v>
      </c>
      <c r="I12" s="81">
        <f>IF(ISBLANK('Control Entry'!B13),"",'Control Entry'!B13)</f>
        <v>0.25</v>
      </c>
      <c r="J12" s="26"/>
    </row>
    <row r="13" spans="2:15" ht="20" x14ac:dyDescent="0.2">
      <c r="D13" s="25"/>
      <c r="E13" s="25"/>
      <c r="F13" s="24"/>
      <c r="G13" s="24"/>
      <c r="H13" s="24"/>
      <c r="J13" s="19"/>
      <c r="K13" s="14"/>
      <c r="L13" s="26"/>
      <c r="M13" s="26"/>
      <c r="N13" s="26"/>
      <c r="O13" s="19"/>
    </row>
    <row r="14" spans="2:15" ht="21" thickBot="1" x14ac:dyDescent="0.25">
      <c r="D14" s="141" t="s">
        <v>63</v>
      </c>
      <c r="E14" s="141"/>
      <c r="F14" s="82"/>
      <c r="G14" s="86"/>
      <c r="H14" s="73" t="s">
        <v>65</v>
      </c>
      <c r="I14" s="81"/>
      <c r="J14" s="26"/>
      <c r="K14" s="13"/>
      <c r="L14" s="75"/>
      <c r="M14" s="75"/>
      <c r="N14" s="75"/>
    </row>
    <row r="15" spans="2:15" ht="20" x14ac:dyDescent="0.2">
      <c r="B15" s="41"/>
      <c r="C15" s="41"/>
      <c r="D15" s="24"/>
      <c r="E15" s="24"/>
      <c r="H15" s="24"/>
      <c r="I15" s="14"/>
      <c r="J15" s="14"/>
      <c r="K15" s="14"/>
      <c r="L15" s="14"/>
      <c r="M15" s="14"/>
      <c r="N15" s="14"/>
      <c r="O15" s="19"/>
    </row>
    <row r="16" spans="2:15" ht="21" thickBot="1" x14ac:dyDescent="0.25">
      <c r="C16" s="74"/>
      <c r="D16" s="74"/>
      <c r="E16" s="74"/>
      <c r="F16" s="74"/>
      <c r="H16" s="20" t="s">
        <v>66</v>
      </c>
      <c r="I16" s="81"/>
      <c r="J16" s="26"/>
      <c r="K16" s="13"/>
      <c r="L16" s="75"/>
      <c r="M16" s="75"/>
      <c r="N16" s="75"/>
    </row>
    <row r="17" spans="2:15" ht="20" x14ac:dyDescent="0.15">
      <c r="C17" s="142" t="s">
        <v>14</v>
      </c>
      <c r="D17" s="142"/>
      <c r="E17" s="142"/>
      <c r="F17" s="142"/>
      <c r="G17" s="22"/>
      <c r="H17" s="22"/>
      <c r="I17" s="143"/>
      <c r="J17" s="143"/>
      <c r="K17" s="22"/>
      <c r="L17" s="124"/>
      <c r="M17" s="124"/>
      <c r="N17" s="124"/>
      <c r="O17" s="124"/>
    </row>
    <row r="18" spans="2:15" ht="6" customHeight="1" thickBot="1" x14ac:dyDescent="0.2">
      <c r="B18" s="69"/>
      <c r="C18" s="69"/>
      <c r="D18" s="69"/>
      <c r="E18" s="69"/>
      <c r="F18" s="70"/>
      <c r="G18" s="71"/>
      <c r="H18" s="71"/>
      <c r="I18" s="71"/>
      <c r="J18" s="70"/>
    </row>
    <row r="19" spans="2:15" ht="22" thickTop="1" thickBot="1" x14ac:dyDescent="0.2">
      <c r="B19" s="145" t="s">
        <v>50</v>
      </c>
      <c r="C19" s="145"/>
      <c r="D19" s="145"/>
      <c r="E19" s="145"/>
      <c r="F19" s="145"/>
      <c r="G19" s="145"/>
      <c r="H19" s="145"/>
      <c r="I19" s="145"/>
      <c r="J19" s="145"/>
    </row>
    <row r="20" spans="2:15" ht="20" thickBot="1" x14ac:dyDescent="0.25">
      <c r="B20" s="57" t="s">
        <v>26</v>
      </c>
      <c r="C20" s="8" t="s">
        <v>0</v>
      </c>
      <c r="D20" s="8" t="s">
        <v>1</v>
      </c>
      <c r="E20" s="8" t="s">
        <v>22</v>
      </c>
      <c r="F20" s="8" t="s">
        <v>27</v>
      </c>
      <c r="G20" s="137" t="s">
        <v>36</v>
      </c>
      <c r="H20" s="138"/>
      <c r="I20" s="139"/>
      <c r="J20" s="57" t="s">
        <v>28</v>
      </c>
    </row>
    <row r="21" spans="2:15" ht="40" customHeight="1" x14ac:dyDescent="0.25">
      <c r="B21" s="102"/>
      <c r="C21" s="114">
        <f>Control_1 Open_time</f>
        <v>45395.25</v>
      </c>
      <c r="D21" s="114">
        <f>Control_1 Close_time</f>
        <v>45395.291666666664</v>
      </c>
      <c r="E21" s="103"/>
      <c r="F21" s="104" t="str">
        <f>IF(ISBLANK(Control_1 Establishment_1),"",Control_1 Establishment_1)</f>
        <v>Tim Hortons</v>
      </c>
      <c r="G21" s="127" t="str">
        <f>IF(ISBLANK('Control Entry'!I15),"",'Control Entry'!I15)</f>
        <v/>
      </c>
      <c r="H21" s="128"/>
      <c r="I21" s="129"/>
      <c r="J21" s="105"/>
    </row>
    <row r="22" spans="2:15" ht="40" customHeight="1" x14ac:dyDescent="0.25">
      <c r="B22" s="106">
        <f>IF(ISBLANK(Distance Control_1),"",Control_1 Distance)</f>
        <v>0</v>
      </c>
      <c r="C22" s="107">
        <f>Control_1 Open_time</f>
        <v>45395.25</v>
      </c>
      <c r="D22" s="107">
        <f>Control_1 Close_time</f>
        <v>45395.291666666664</v>
      </c>
      <c r="E22" s="104" t="str">
        <f>IF(ISBLANK(Locale Control_1),"",Locale Control_1)</f>
        <v>SIDNEY</v>
      </c>
      <c r="F22" s="104" t="str">
        <f>IF(ISBLANK(Control_1 Establishment_2),"",Control_1 Establishment_2)</f>
        <v>2243 Beacon Ave</v>
      </c>
      <c r="G22" s="130" t="str">
        <f>IF(ISBLANK('Control Entry'!J15),"",'Control Entry'!J15)</f>
        <v/>
      </c>
      <c r="H22" s="131"/>
      <c r="I22" s="132"/>
      <c r="J22" s="108"/>
    </row>
    <row r="23" spans="2:15" ht="40" customHeight="1" thickBot="1" x14ac:dyDescent="0.3">
      <c r="B23" s="109"/>
      <c r="C23" s="115">
        <f>Control_1 Open_time</f>
        <v>45395.25</v>
      </c>
      <c r="D23" s="115">
        <f>Control_1 Close_time</f>
        <v>45395.291666666664</v>
      </c>
      <c r="E23" s="110"/>
      <c r="F23" s="111" t="str">
        <f>IF(ISBLANK(Control_1 Establishment_3),"",Control_1 Establishment_3)</f>
        <v/>
      </c>
      <c r="G23" s="133" t="str">
        <f>IF(ISBLANK('Control Entry'!K15),"",'Control Entry'!K15)</f>
        <v/>
      </c>
      <c r="H23" s="134"/>
      <c r="I23" s="135"/>
      <c r="J23" s="112"/>
    </row>
    <row r="24" spans="2:15" ht="40" customHeight="1" x14ac:dyDescent="0.25">
      <c r="B24" s="102"/>
      <c r="C24" s="114">
        <f>Control_2 Open_time</f>
        <v>45395.280555555553</v>
      </c>
      <c r="D24" s="114">
        <f>Control_2 Close_time</f>
        <v>45395.34375</v>
      </c>
      <c r="E24" s="113"/>
      <c r="F24" s="104" t="str">
        <f>IF(ISBLANK(Control_2 Establishment_1),"",Control_2 Establishment_1)</f>
        <v>Information Control</v>
      </c>
      <c r="G24" s="127" t="str">
        <f>IF(ISBLANK('Control Entry'!I16),"",'Control Entry'!I16)</f>
        <v>Number of flagging tape on sign?</v>
      </c>
      <c r="H24" s="128"/>
      <c r="I24" s="129"/>
      <c r="J24" s="105"/>
    </row>
    <row r="25" spans="2:15" ht="40" customHeight="1" x14ac:dyDescent="0.25">
      <c r="B25" s="106">
        <f>IF(ISBLANK(Distance Control_2),"",Control_2 Distance)</f>
        <v>25</v>
      </c>
      <c r="C25" s="107">
        <f>Control_2 Open_time</f>
        <v>45395.280555555553</v>
      </c>
      <c r="D25" s="107">
        <f>Control_2 Close_time</f>
        <v>45395.34375</v>
      </c>
      <c r="E25" s="104" t="str">
        <f>IF(ISBLANK(Locale Control_2),"",Locale Control_2)</f>
        <v>SAANICH</v>
      </c>
      <c r="F25" s="104" t="str">
        <f>IF(ISBLANK(Control_2 Establishment_2),"",Control_2 Establishment_2)</f>
        <v>Stop sign</v>
      </c>
      <c r="G25" s="130" t="str">
        <f>IF(ISBLANK('Control Entry'!J16),"",'Control Entry'!J16)</f>
        <v/>
      </c>
      <c r="H25" s="131"/>
      <c r="I25" s="132"/>
      <c r="J25" s="108"/>
    </row>
    <row r="26" spans="2:15" ht="40" customHeight="1" thickBot="1" x14ac:dyDescent="0.3">
      <c r="B26" s="109"/>
      <c r="C26" s="115">
        <f>Control_2 Open_time</f>
        <v>45395.280555555553</v>
      </c>
      <c r="D26" s="115">
        <f>Control_2 Close_time</f>
        <v>45395.34375</v>
      </c>
      <c r="E26" s="110"/>
      <c r="F26" s="111" t="str">
        <f>IF(ISBLANK(Control_2 Establishment_3),"",Control_2 Establishment_3)</f>
        <v>Columbine @ Interurban</v>
      </c>
      <c r="G26" s="133" t="str">
        <f>IF(ISBLANK('Control Entry'!K16),"",'Control Entry'!K16)</f>
        <v xml:space="preserve">0         1         2       </v>
      </c>
      <c r="H26" s="134"/>
      <c r="I26" s="135"/>
      <c r="J26" s="112"/>
    </row>
    <row r="27" spans="2:15" ht="40" customHeight="1" x14ac:dyDescent="0.25">
      <c r="B27" s="102"/>
      <c r="C27" s="114">
        <f>Control_3 Open_time</f>
        <v>45395.32916666667</v>
      </c>
      <c r="D27" s="114">
        <f>Control_3 Close_time</f>
        <v>45395.429861111108</v>
      </c>
      <c r="E27" s="113"/>
      <c r="F27" s="104" t="str">
        <f>IF(ISBLANK(Control_3 Establishment_1),"",Control_3 Establishment_1)</f>
        <v>Information Control</v>
      </c>
      <c r="G27" s="127" t="str">
        <f>IF(ISBLANK('Control Entry'!I17),"",'Control Entry'!I17)</f>
        <v>Type of sign on trail to cross Lombard?</v>
      </c>
      <c r="H27" s="128"/>
      <c r="I27" s="129"/>
      <c r="J27" s="105"/>
    </row>
    <row r="28" spans="2:15" ht="40" customHeight="1" x14ac:dyDescent="0.25">
      <c r="B28" s="106">
        <f>IF(ISBLANK(Distance Control_3),"",Control_3 Distance)</f>
        <v>64.8</v>
      </c>
      <c r="C28" s="107">
        <f>Control_3 Open_time</f>
        <v>45395.32916666667</v>
      </c>
      <c r="D28" s="107">
        <f>Control_3 Close_time</f>
        <v>45395.429861111108</v>
      </c>
      <c r="E28" s="104" t="str">
        <f>IF(ISBLANK(Locale Control_3),"",Locale Control_3)</f>
        <v>METCHOSIN</v>
      </c>
      <c r="F28" s="104" t="str">
        <f>IF(ISBLANK(Control_3 Establishment_2),"",Control_3 Establishment_2)</f>
        <v>Stop sign</v>
      </c>
      <c r="G28" s="130" t="str">
        <f>IF(ISBLANK('Control Entry'!J17),"",'Control Entry'!J17)</f>
        <v/>
      </c>
      <c r="H28" s="131"/>
      <c r="I28" s="132"/>
      <c r="J28" s="108"/>
    </row>
    <row r="29" spans="2:15" ht="40" customHeight="1" thickBot="1" x14ac:dyDescent="0.3">
      <c r="B29" s="109"/>
      <c r="C29" s="115">
        <f>Control_3 Open_time</f>
        <v>45395.32916666667</v>
      </c>
      <c r="D29" s="115">
        <f>Control_3 Close_time</f>
        <v>45395.429861111108</v>
      </c>
      <c r="E29" s="110"/>
      <c r="F29" s="111" t="str">
        <f>IF(ISBLANK(Control_3 Establishment_3),"",Control_3 Establishment_3)</f>
        <v>Lombard @ Galloping Goose Trail</v>
      </c>
      <c r="G29" s="133" t="str">
        <f>IF(ISBLANK('Control Entry'!K17),"",'Control Entry'!K17)</f>
        <v>Warning.      Yield.      Stop</v>
      </c>
      <c r="H29" s="134"/>
      <c r="I29" s="135"/>
      <c r="J29" s="112"/>
    </row>
    <row r="30" spans="2:15" ht="40" customHeight="1" x14ac:dyDescent="0.25">
      <c r="B30" s="102"/>
      <c r="C30" s="114">
        <f>Control_4 Open_time</f>
        <v>45395.363888888889</v>
      </c>
      <c r="D30" s="114">
        <f>Control_4 Close_time</f>
        <v>45395.509027777778</v>
      </c>
      <c r="E30" s="113"/>
      <c r="F30" s="104" t="str">
        <f>IF(ISBLANK(Control_4 Establishment_1),"",Control_4 Establishment_1)</f>
        <v>Information Control</v>
      </c>
      <c r="G30" s="127" t="str">
        <f>IF(ISBLANK('Control Entry'!I18),"",'Control Entry'!I18)</f>
        <v>Public hearing sign</v>
      </c>
      <c r="H30" s="128"/>
      <c r="I30" s="129"/>
      <c r="J30" s="105"/>
    </row>
    <row r="31" spans="2:15" ht="40" customHeight="1" x14ac:dyDescent="0.25">
      <c r="B31" s="106">
        <f>IF(ISBLANK(Distance Control_4),"",Control_4 Distance)</f>
        <v>93.2</v>
      </c>
      <c r="C31" s="107">
        <f>Control_4 Open_time</f>
        <v>45395.363888888889</v>
      </c>
      <c r="D31" s="107">
        <f>Control_4 Close_time</f>
        <v>45395.509027777778</v>
      </c>
      <c r="E31" s="104" t="str">
        <f>IF(ISBLANK(Locale Control_4),"",Locale Control_4)</f>
        <v>ESQUIMALT</v>
      </c>
      <c r="F31" s="104" t="str">
        <f>IF(ISBLANK(Control_4 Establishment_2),"",Control_4 Establishment_2)</f>
        <v>Fence, farside of crosswalk</v>
      </c>
      <c r="G31" s="155" t="str">
        <f>IF(ISBLANK('Control Entry'!J18),"",'Control Entry'!J18)</f>
        <v>Time of meeting?</v>
      </c>
      <c r="H31" s="156"/>
      <c r="I31" s="157"/>
      <c r="J31" s="108"/>
    </row>
    <row r="32" spans="2:15" ht="40" customHeight="1" thickBot="1" x14ac:dyDescent="0.3">
      <c r="B32" s="109"/>
      <c r="C32" s="115">
        <f>Control_4 Open_time</f>
        <v>45395.363888888889</v>
      </c>
      <c r="D32" s="115">
        <f>Control_4 Close_time</f>
        <v>45395.509027777778</v>
      </c>
      <c r="E32" s="110"/>
      <c r="F32" s="111" t="str">
        <f>IF(ISBLANK(Control_4 Establishment_3),"",Control_4 Establishment_3)</f>
        <v xml:space="preserve">E&amp;N Trail @ Catherine St </v>
      </c>
      <c r="G32" s="133" t="str">
        <f>IF(ISBLANK('Control Entry'!K18),"",'Control Entry'!K18)</f>
        <v/>
      </c>
      <c r="H32" s="134"/>
      <c r="I32" s="135"/>
      <c r="J32" s="112"/>
    </row>
    <row r="33" spans="2:10" ht="40" customHeight="1" x14ac:dyDescent="0.25">
      <c r="B33" s="102"/>
      <c r="C33" s="114">
        <f>Control_5 Open_time</f>
        <v>45395.421527777777</v>
      </c>
      <c r="D33" s="114">
        <f>Control_5 Close_time</f>
        <v>45395.638194444444</v>
      </c>
      <c r="E33" s="113"/>
      <c r="F33" s="104" t="str">
        <f>IF(ISBLANK(Control_5 Establishment_1),"",Control_5 Establishment_1)</f>
        <v>Deep Cove Market</v>
      </c>
      <c r="G33" s="127" t="str">
        <f>IF(ISBLANK('Control Entry'!I19),"",'Control Entry'!I19)</f>
        <v/>
      </c>
      <c r="H33" s="128"/>
      <c r="I33" s="129"/>
      <c r="J33" s="105"/>
    </row>
    <row r="34" spans="2:10" ht="40" customHeight="1" x14ac:dyDescent="0.25">
      <c r="B34" s="106">
        <f>IF(ISBLANK(Distance Control_5),"",Control_5 Distance)</f>
        <v>139.69999999999999</v>
      </c>
      <c r="C34" s="107">
        <f>Control_5 Open_time</f>
        <v>45395.421527777777</v>
      </c>
      <c r="D34" s="107">
        <f>Control_5 Close_time</f>
        <v>45395.638194444444</v>
      </c>
      <c r="E34" s="104" t="str">
        <f>IF(ISBLANK(Locale Control_5),"",Locale Control_5)</f>
        <v>DEEP COVE</v>
      </c>
      <c r="F34" s="104" t="str">
        <f>IF(ISBLANK(Control_5 Establishment_2),"",Control_5 Establishment_2)</f>
        <v>or Coop Gas</v>
      </c>
      <c r="G34" s="130" t="str">
        <f>IF(ISBLANK('Control Entry'!J19),"",'Control Entry'!J19)</f>
        <v/>
      </c>
      <c r="H34" s="131"/>
      <c r="I34" s="132"/>
      <c r="J34" s="108"/>
    </row>
    <row r="35" spans="2:10" ht="40" customHeight="1" thickBot="1" x14ac:dyDescent="0.3">
      <c r="B35" s="109"/>
      <c r="C35" s="115">
        <f>Control_5 Open_time</f>
        <v>45395.421527777777</v>
      </c>
      <c r="D35" s="115">
        <f>Control_5 Close_time</f>
        <v>45395.638194444444</v>
      </c>
      <c r="E35" s="110"/>
      <c r="F35" s="111" t="str">
        <f>IF(ISBLANK(Control_5 Establishment_3),"",Control_5 Establishment_3)</f>
        <v>Birch @ W. Saanich</v>
      </c>
      <c r="G35" s="133" t="str">
        <f>IF(ISBLANK('Control Entry'!K19),"",'Control Entry'!K19)</f>
        <v/>
      </c>
      <c r="H35" s="134"/>
      <c r="I35" s="135"/>
      <c r="J35" s="112"/>
    </row>
    <row r="36" spans="2:10" ht="40" customHeight="1" x14ac:dyDescent="0.25">
      <c r="B36" s="102"/>
      <c r="C36" s="114">
        <f>Control_6 Open_time</f>
        <v>45395.442361111112</v>
      </c>
      <c r="D36" s="114">
        <f>Control_6 Close_time</f>
        <v>45395.685416666667</v>
      </c>
      <c r="E36" s="113"/>
      <c r="F36" s="104" t="str">
        <f>IF(ISBLANK(Control_6 Establishment_1),"",Control_6 Establishment_1)</f>
        <v>Keating Centre</v>
      </c>
      <c r="G36" s="127" t="str">
        <f>IF(ISBLANK('Control Entry'!I20),"",'Control Entry'!I20)</f>
        <v/>
      </c>
      <c r="H36" s="128"/>
      <c r="I36" s="129"/>
      <c r="J36" s="105"/>
    </row>
    <row r="37" spans="2:10" ht="40" customHeight="1" x14ac:dyDescent="0.25">
      <c r="B37" s="106">
        <f>IF(ISBLANK(Distance Control_6),"",Control_6 Distance)</f>
        <v>156.69999999999999</v>
      </c>
      <c r="C37" s="107">
        <f>Control_6 Open_time</f>
        <v>45395.442361111112</v>
      </c>
      <c r="D37" s="107">
        <f>Control_6 Close_time</f>
        <v>45395.685416666667</v>
      </c>
      <c r="E37" s="104" t="str">
        <f>IF(ISBLANK(Locale Control_6),"",Locale Control_6)</f>
        <v>CENTRAL SAANICH</v>
      </c>
      <c r="F37" s="104" t="str">
        <f>IF(ISBLANK(Control_6 Establishment_2),"",Control_6 Establishment_2)</f>
        <v>Your choice</v>
      </c>
      <c r="G37" s="130" t="str">
        <f>IF(ISBLANK('Control Entry'!J20),"",'Control Entry'!J20)</f>
        <v/>
      </c>
      <c r="H37" s="131"/>
      <c r="I37" s="132"/>
      <c r="J37" s="108"/>
    </row>
    <row r="38" spans="2:10" ht="40" customHeight="1" thickBot="1" x14ac:dyDescent="0.3">
      <c r="B38" s="109"/>
      <c r="C38" s="115">
        <f>Control_6 Open_time</f>
        <v>45395.442361111112</v>
      </c>
      <c r="D38" s="115">
        <f>Control_6 Close_time</f>
        <v>45395.685416666667</v>
      </c>
      <c r="E38" s="110"/>
      <c r="F38" s="111" t="str">
        <f>IF(ISBLANK(Control_6 Establishment_3),"",Control_6 Establishment_3)</f>
        <v>Keating Cross@Veyaness</v>
      </c>
      <c r="G38" s="133" t="str">
        <f>IF(ISBLANK('Control Entry'!K20),"",'Control Entry'!K20)</f>
        <v/>
      </c>
      <c r="H38" s="134"/>
      <c r="I38" s="135"/>
      <c r="J38" s="112"/>
    </row>
    <row r="39" spans="2:10" ht="40" customHeight="1" x14ac:dyDescent="0.25">
      <c r="B39" s="102"/>
      <c r="C39" s="114">
        <f>Control_7 Open_time</f>
        <v>45395.530555555553</v>
      </c>
      <c r="D39" s="114">
        <f>Control_7 Close_time</f>
        <v>45395.881944444445</v>
      </c>
      <c r="E39" s="113"/>
      <c r="F39" s="104" t="str">
        <f>IF(ISBLANK(Control_7 Establishment_1),"",Control_7 Establishment_1)</f>
        <v>Information Control</v>
      </c>
      <c r="G39" s="127" t="str">
        <f>IF(ISBLANK('Control Entry'!I21),"",'Control Entry'!I21)</f>
        <v>Number of flagging tape on sign?</v>
      </c>
      <c r="H39" s="128"/>
      <c r="I39" s="129"/>
      <c r="J39" s="105"/>
    </row>
    <row r="40" spans="2:10" ht="40" customHeight="1" x14ac:dyDescent="0.25">
      <c r="B40" s="106">
        <f>IF(ISBLANK(Distance Control_7),"",Control_7 Distance)</f>
        <v>227.4</v>
      </c>
      <c r="C40" s="107">
        <f>Control_7 Open_time</f>
        <v>45395.530555555553</v>
      </c>
      <c r="D40" s="107">
        <f>Control_7 Close_time</f>
        <v>45395.881944444445</v>
      </c>
      <c r="E40" s="104" t="str">
        <f>IF(ISBLANK(Locale Control_7),"",Locale Control_7)</f>
        <v>OAK BAY</v>
      </c>
      <c r="F40" s="104" t="str">
        <f>IF(ISBLANK(Control_7 Establishment_2),"",Control_7 Establishment_2)</f>
        <v>Stop sign</v>
      </c>
      <c r="G40" s="130" t="str">
        <f>IF(ISBLANK('Control Entry'!J21),"",'Control Entry'!J21)</f>
        <v/>
      </c>
      <c r="H40" s="131"/>
      <c r="I40" s="132"/>
      <c r="J40" s="108"/>
    </row>
    <row r="41" spans="2:10" ht="40" customHeight="1" thickBot="1" x14ac:dyDescent="0.3">
      <c r="B41" s="109"/>
      <c r="C41" s="115">
        <f>Control_7 Open_time</f>
        <v>45395.530555555553</v>
      </c>
      <c r="D41" s="115">
        <f>Control_7 Close_time</f>
        <v>45395.881944444445</v>
      </c>
      <c r="E41" s="110"/>
      <c r="F41" s="111" t="str">
        <f>IF(ISBLANK(Control_7 Establishment_3),"",Control_7 Establishment_3)</f>
        <v>Hampshire @ McNeill</v>
      </c>
      <c r="G41" s="133" t="str">
        <f>IF(ISBLANK('Control Entry'!K21),"",'Control Entry'!K21)</f>
        <v xml:space="preserve">0         1         2       </v>
      </c>
      <c r="H41" s="134"/>
      <c r="I41" s="135"/>
      <c r="J41" s="112"/>
    </row>
    <row r="42" spans="2:10" ht="40" customHeight="1" x14ac:dyDescent="0.25">
      <c r="B42" s="102"/>
      <c r="C42" s="114">
        <f>Control_8 Open_time</f>
        <v>45395.541666666664</v>
      </c>
      <c r="D42" s="114">
        <f>Control_8 Close_time</f>
        <v>45395.905555555553</v>
      </c>
      <c r="E42" s="113"/>
      <c r="F42" s="104" t="str">
        <f>IF(ISBLANK(Control_8 Establishment_1),"",Control_8 Establishment_1)</f>
        <v>Information Control</v>
      </c>
      <c r="G42" s="127" t="str">
        <f>IF(ISBLANK('Control Entry'!I22),"",'Control Entry'!I22)</f>
        <v>Number of flagging tape on sign?</v>
      </c>
      <c r="H42" s="128"/>
      <c r="I42" s="129"/>
      <c r="J42" s="105"/>
    </row>
    <row r="43" spans="2:10" ht="40" customHeight="1" x14ac:dyDescent="0.25">
      <c r="B43" s="106">
        <f>IF(ISBLANK(Distance Control_8),"",Control_8 Distance)</f>
        <v>236</v>
      </c>
      <c r="C43" s="107">
        <f>Control_8 Open_time</f>
        <v>45395.541666666664</v>
      </c>
      <c r="D43" s="107">
        <f>Control_8 Close_time</f>
        <v>45395.905555555553</v>
      </c>
      <c r="E43" s="104" t="str">
        <f>IF(ISBLANK(Locale Control_8),"",Locale Control_8)</f>
        <v>CADBORO BAY</v>
      </c>
      <c r="F43" s="104" t="str">
        <f>IF(ISBLANK(Control_8 Establishment_2),"",Control_8 Establishment_2)</f>
        <v>Stop sign</v>
      </c>
      <c r="G43" s="130" t="str">
        <f>IF(ISBLANK('Control Entry'!J22),"",'Control Entry'!J22)</f>
        <v/>
      </c>
      <c r="H43" s="131"/>
      <c r="I43" s="132"/>
      <c r="J43" s="108"/>
    </row>
    <row r="44" spans="2:10" ht="40" customHeight="1" thickBot="1" x14ac:dyDescent="0.3">
      <c r="B44" s="109"/>
      <c r="C44" s="115">
        <f>Control_8 Open_time</f>
        <v>45395.541666666664</v>
      </c>
      <c r="D44" s="115">
        <f>Control_8 Close_time</f>
        <v>45395.905555555553</v>
      </c>
      <c r="E44" s="110"/>
      <c r="F44" s="111" t="str">
        <f>IF(ISBLANK(Control_8 Establishment_3),"",Control_8 Establishment_3)</f>
        <v>Arbutus @ Telegraph Bay</v>
      </c>
      <c r="G44" s="133" t="str">
        <f>IF(ISBLANK('Control Entry'!K22),"",'Control Entry'!K22)</f>
        <v xml:space="preserve">0         1         2       </v>
      </c>
      <c r="H44" s="134"/>
      <c r="I44" s="135"/>
      <c r="J44" s="112"/>
    </row>
    <row r="45" spans="2:10" ht="40" customHeight="1" x14ac:dyDescent="0.25">
      <c r="B45" s="102"/>
      <c r="C45" s="114">
        <f>Control_9 Open_time</f>
        <v>45395.563888888886</v>
      </c>
      <c r="D45" s="114">
        <f>Control_9 Close_time</f>
        <v>45395.95208333333</v>
      </c>
      <c r="E45" s="113"/>
      <c r="F45" s="104" t="str">
        <f>IF(ISBLANK(Control_9 Establishment_1),"",Control_9 Establishment_1)</f>
        <v>Information Control</v>
      </c>
      <c r="G45" s="127" t="str">
        <f>IF(ISBLANK('Control Entry'!I23),"",'Control Entry'!I23)</f>
        <v>Number of flagging tape on sign?</v>
      </c>
      <c r="H45" s="128"/>
      <c r="I45" s="129"/>
      <c r="J45" s="105"/>
    </row>
    <row r="46" spans="2:10" ht="40" customHeight="1" x14ac:dyDescent="0.25">
      <c r="B46" s="106">
        <f>IF(ISBLANK(Distance Control_9),"",Control_9 Distance)</f>
        <v>252.8</v>
      </c>
      <c r="C46" s="107">
        <f>Control_9 Open_time</f>
        <v>45395.563888888886</v>
      </c>
      <c r="D46" s="107">
        <f>Control_9 Close_time</f>
        <v>45395.95208333333</v>
      </c>
      <c r="E46" s="104" t="str">
        <f>IF(ISBLANK(Locale Control_9),"",Locale Control_9)</f>
        <v>VICTORIA</v>
      </c>
      <c r="F46" s="104" t="str">
        <f>IF(ISBLANK(Control_9 Establishment_2),"",Control_9 Establishment_2)</f>
        <v>Stop sign</v>
      </c>
      <c r="G46" s="130" t="str">
        <f>IF(ISBLANK('Control Entry'!J23),"",'Control Entry'!J23)</f>
        <v/>
      </c>
      <c r="H46" s="131"/>
      <c r="I46" s="132"/>
      <c r="J46" s="108"/>
    </row>
    <row r="47" spans="2:10" ht="40" customHeight="1" thickBot="1" x14ac:dyDescent="0.3">
      <c r="B47" s="109"/>
      <c r="C47" s="115">
        <f>Control_9 Open_time</f>
        <v>45395.563888888886</v>
      </c>
      <c r="D47" s="115">
        <f>Control_9 Close_time</f>
        <v>45395.95208333333</v>
      </c>
      <c r="E47" s="110"/>
      <c r="F47" s="111" t="str">
        <f>IF(ISBLANK(Control_9 Establishment_3),"",Control_9 Establishment_3)</f>
        <v>St. Lawrence @ Superior</v>
      </c>
      <c r="G47" s="133" t="str">
        <f>IF(ISBLANK('Control Entry'!K23),"",'Control Entry'!K23)</f>
        <v xml:space="preserve">0         1         2       </v>
      </c>
      <c r="H47" s="134"/>
      <c r="I47" s="135"/>
      <c r="J47" s="112"/>
    </row>
    <row r="48" spans="2:10" ht="40" customHeight="1" x14ac:dyDescent="0.25">
      <c r="B48" s="102"/>
      <c r="C48" s="114">
        <f>Control_10 Open_time</f>
        <v>45395.627083333333</v>
      </c>
      <c r="D48" s="114">
        <f>Control_10 Close_time</f>
        <v>45396.083333333336</v>
      </c>
      <c r="E48" s="113"/>
      <c r="F48" s="104" t="str">
        <f>IF(ISBLANK(Control_10 Establishment_1),"",Control_10 Establishment_1)</f>
        <v>Tim Hortons</v>
      </c>
      <c r="G48" s="127" t="str">
        <f>IF(ISBLANK('Control Entry'!I24),"",'Control Entry'!I24)</f>
        <v>self sign if closed</v>
      </c>
      <c r="H48" s="128"/>
      <c r="I48" s="129"/>
      <c r="J48" s="105"/>
    </row>
    <row r="49" spans="2:11" ht="40" customHeight="1" x14ac:dyDescent="0.25">
      <c r="B49" s="106">
        <f>IF(ISBLANK(Distance Control_10),"",Control_10 Distance)</f>
        <v>301.39999999999998</v>
      </c>
      <c r="C49" s="107">
        <f>Control_10 Open_time</f>
        <v>45395.627083333333</v>
      </c>
      <c r="D49" s="107">
        <f>Control_10 Close_time</f>
        <v>45396.083333333336</v>
      </c>
      <c r="E49" s="104" t="str">
        <f>IF(ISBLANK(Locale Control_10),"",Locale Control_10)</f>
        <v>SIDNEY</v>
      </c>
      <c r="F49" s="104" t="str">
        <f>IF(ISBLANK(Control_10 Establishment_2),"",Control_10 Establishment_2)</f>
        <v xml:space="preserve"> 2343 Beacon Ave</v>
      </c>
      <c r="G49" s="130" t="str">
        <f>IF(ISBLANK('Control Entry'!J24),"",'Control Entry'!J24)</f>
        <v/>
      </c>
      <c r="H49" s="131"/>
      <c r="I49" s="132"/>
      <c r="J49" s="108"/>
    </row>
    <row r="50" spans="2:11" ht="40" customHeight="1" thickBot="1" x14ac:dyDescent="0.3">
      <c r="B50" s="109"/>
      <c r="C50" s="115">
        <f>Control_10 Open_time</f>
        <v>45395.627083333333</v>
      </c>
      <c r="D50" s="115">
        <f>Control_10 Close_time</f>
        <v>45396.083333333336</v>
      </c>
      <c r="E50" s="110"/>
      <c r="F50" s="111" t="str">
        <f>IF(ISBLANK(Control_10 Establishment_3),"",Control_10 Establishment_3)</f>
        <v/>
      </c>
      <c r="G50" s="133" t="str">
        <f>IF(ISBLANK('Control Entry'!K24),"",'Control Entry'!K24)</f>
        <v/>
      </c>
      <c r="H50" s="134"/>
      <c r="I50" s="135"/>
      <c r="J50" s="112"/>
    </row>
    <row r="52" spans="2:11" ht="24" customHeight="1" x14ac:dyDescent="0.15">
      <c r="B52" s="136" t="s">
        <v>30</v>
      </c>
      <c r="C52" s="136"/>
      <c r="D52" s="136"/>
      <c r="E52" s="136"/>
      <c r="F52" s="136"/>
      <c r="I52" s="66" t="s">
        <v>57</v>
      </c>
      <c r="J52" s="94" t="str">
        <f>IF(ISBLANK('Control Entry'!F10),"",'Control Entry'!F10)</f>
        <v>‭(250) 880-5006‬</v>
      </c>
      <c r="K52" s="62"/>
    </row>
    <row r="54" spans="2:11" x14ac:dyDescent="0.15">
      <c r="B54" s="89" t="s">
        <v>60</v>
      </c>
      <c r="C54" s="90">
        <f>'Control Entry'!B3</f>
        <v>45167</v>
      </c>
    </row>
    <row r="55" spans="2:11" ht="23" x14ac:dyDescent="0.15">
      <c r="B55" s="66"/>
      <c r="C55" s="66"/>
      <c r="D55" s="66"/>
      <c r="E55" s="66"/>
      <c r="F55" s="62"/>
      <c r="G55" s="68"/>
      <c r="H55" s="68"/>
      <c r="I55" s="68"/>
      <c r="J55" s="62"/>
    </row>
    <row r="56" spans="2:11" x14ac:dyDescent="0.15">
      <c r="E56" s="1"/>
    </row>
    <row r="57" spans="2:11" x14ac:dyDescent="0.15">
      <c r="B57" s="64"/>
      <c r="C57" s="65"/>
      <c r="D57" s="65"/>
      <c r="E57" s="65"/>
      <c r="F57" s="125"/>
      <c r="G57" s="126"/>
      <c r="H57" s="126"/>
      <c r="I57" s="126"/>
      <c r="J57" s="126"/>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Control Entry</vt:lpstr>
      <vt:lpstr>Card #1</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2024-03-08T21:20:21Z</cp:lastPrinted>
  <dcterms:created xsi:type="dcterms:W3CDTF">1997-11-12T04:43:39Z</dcterms:created>
  <dcterms:modified xsi:type="dcterms:W3CDTF">2024-03-31T01:02:21Z</dcterms:modified>
</cp:coreProperties>
</file>