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autoCompressPictures="0"/>
  <bookViews>
    <workbookView xWindow="-105" yWindow="-105" windowWidth="23250" windowHeight="12570" tabRatio="509" activeTab="1"/>
  </bookViews>
  <sheets>
    <sheet name="Control Entry" sheetId="1" r:id="rId1"/>
    <sheet name="Control Card #1" sheetId="2" r:id="rId2"/>
    <sheet name="Control Card #2" sheetId="3" r:id="rId3"/>
  </sheets>
  <definedNames>
    <definedName name="Address_1" localSheetId="2">#REF!</definedName>
    <definedName name="Address_1">#REF!</definedName>
    <definedName name="Address_2" localSheetId="2">#REF!</definedName>
    <definedName name="Address_2">#REF!</definedName>
    <definedName name="brevet">'Control Entry'!$C$1</definedName>
    <definedName name="Brevet_Description">'Control Entry'!$B$3</definedName>
    <definedName name="Brevet_Length">'Control Entry'!$B$1</definedName>
    <definedName name="Brevet_Number">'Control Entry'!$B$4</definedName>
    <definedName name="City" localSheetId="2">#REF!</definedName>
    <definedName name="City">#REF!</definedName>
    <definedName name="Close">'Control Entry'!$M$10:$M$19</definedName>
    <definedName name="Close_time">'Control Entry'!$O$10:$O$19</definedName>
    <definedName name="Control_1">'Control Entry'!$D$10:$O$10</definedName>
    <definedName name="Control_10">'Control Entry'!$D$19:$O$19</definedName>
    <definedName name="Control_11" localSheetId="2">'Control Entry'!#REF!</definedName>
    <definedName name="Control_11">'Control Entry'!#REF!</definedName>
    <definedName name="Control_12" localSheetId="2">'Control Entry'!#REF!</definedName>
    <definedName name="Control_12">'Control Entry'!#REF!</definedName>
    <definedName name="Control_13" localSheetId="2">'Control Entry'!#REF!</definedName>
    <definedName name="Control_13">'Control Entry'!#REF!</definedName>
    <definedName name="Control_14" localSheetId="2">'Control Entry'!#REF!</definedName>
    <definedName name="Control_14">'Control Entry'!#REF!</definedName>
    <definedName name="Control_15" localSheetId="2">'Control Entry'!#REF!</definedName>
    <definedName name="Control_15">'Control Entry'!#REF!</definedName>
    <definedName name="Control_16" localSheetId="2">'Control Entry'!#REF!</definedName>
    <definedName name="Control_16">'Control Entry'!#REF!</definedName>
    <definedName name="Control_17" localSheetId="2">'Control Entry'!#REF!</definedName>
    <definedName name="Control_17">'Control Entry'!#REF!</definedName>
    <definedName name="Control_18" localSheetId="2">'Control Entry'!#REF!</definedName>
    <definedName name="Control_18">'Control Entry'!#REF!</definedName>
    <definedName name="Control_19" localSheetId="2">'Control Entry'!#REF!</definedName>
    <definedName name="Control_19">'Control Entry'!#REF!</definedName>
    <definedName name="Control_2">'Control Entry'!$D$11:$O$11</definedName>
    <definedName name="Control_20" localSheetId="2">'Control Entry'!#REF!</definedName>
    <definedName name="Control_20">'Control Entry'!#REF!</definedName>
    <definedName name="Control_3">'Control Entry'!$D$12:$O$12</definedName>
    <definedName name="Control_4">'Control Entry'!$D$13:$O$13</definedName>
    <definedName name="Control_5">'Control Entry'!$D$14:$O$14</definedName>
    <definedName name="Control_6">'Control Entry'!$D$15:$O$15</definedName>
    <definedName name="Control_7">'Control Entry'!$D$16:$O$16</definedName>
    <definedName name="Control_8">'Control Entry'!$D$17:$O$17</definedName>
    <definedName name="Control_9">'Control Entry'!$D$18:$O$18</definedName>
    <definedName name="Country" localSheetId="2">#REF!</definedName>
    <definedName name="Country">#REF!</definedName>
    <definedName name="Distance">'Control Entry'!$D$10:$D$19</definedName>
    <definedName name="email" localSheetId="2">#REF!</definedName>
    <definedName name="email">#REF!</definedName>
    <definedName name="Establishment_1">'Control Entry'!$F$10:$F$19</definedName>
    <definedName name="Establishment_2">'Control Entry'!$G$10:$G$19</definedName>
    <definedName name="Establishment_3">'Control Entry'!$H$10:$H$19</definedName>
    <definedName name="Fax" localSheetId="2">#REF!</definedName>
    <definedName name="Fax">#REF!</definedName>
    <definedName name="First_Name" localSheetId="2">#REF!</definedName>
    <definedName name="First_Name">#REF!</definedName>
    <definedName name="Home_telephone" localSheetId="2">#REF!</definedName>
    <definedName name="Home_telephone">#REF!</definedName>
    <definedName name="HTML_CodePage" hidden="1">1252</definedName>
    <definedName name="HTML_Control" hidden="1">{"'Web sheet'!$A$1:$D$92"}</definedName>
    <definedName name="HTML_Description" hidden="1">""</definedName>
    <definedName name="HTML_Email" hidden="1">"randos@island.net"</definedName>
    <definedName name="HTML_Header" hidden="1">"Web sheet"</definedName>
    <definedName name="HTML_LastUpdate" hidden="1">"99-03-06"</definedName>
    <definedName name="HTML_LineAfter" hidden="1">TRUE</definedName>
    <definedName name="HTML_LineBefore" hidden="1">TRUE</definedName>
    <definedName name="HTML_Name" hidden="1">"Stephen Hinde"</definedName>
    <definedName name="HTML_OBDlg2" hidden="1">TRUE</definedName>
    <definedName name="HTML_OBDlg4" hidden="1">TRUE</definedName>
    <definedName name="HTML_OS" hidden="1">0</definedName>
    <definedName name="HTML_PathFile" hidden="1">"C:\My Documents\excel\MyHTML.htm"</definedName>
    <definedName name="HTML_Title" hidden="1">"VI0100B Nanaimo Populaire"</definedName>
    <definedName name="HTML1_1" hidden="1">"'[vi0100b.xls]VI0100B 970310'!$A$3:$D$22"</definedName>
    <definedName name="HTML1_10" hidden="1">"randos@island.net"</definedName>
    <definedName name="HTML1_11" hidden="1">1</definedName>
    <definedName name="HTML1_12" hidden="1">"C:\My Documents\Web Page\vi0100b.htm"</definedName>
    <definedName name="HTML1_2" hidden="1">1</definedName>
    <definedName name="HTML1_3" hidden="1">"100 km Populaire"</definedName>
    <definedName name="HTML1_4" hidden="1">"VI0100B 970310"</definedName>
    <definedName name="HTML1_5" hidden="1">"Nanaimo--Lantzville--Nanaimo--Yellow Point--Nanaimo"</definedName>
    <definedName name="HTML1_6" hidden="1">1</definedName>
    <definedName name="HTML1_7" hidden="1">1</definedName>
    <definedName name="HTML1_8" hidden="1">"26/10/97"</definedName>
    <definedName name="HTML1_9" hidden="1">"Stephen Hinde"</definedName>
    <definedName name="HTML2_1" hidden="1">"'[vi0100b.xls]VI0100B 970310'!$A$1:$D$22"</definedName>
    <definedName name="HTML2_10" hidden="1">"randos@island.net"</definedName>
    <definedName name="HTML2_11" hidden="1">1</definedName>
    <definedName name="HTML2_12" hidden="1">"C:\My Documents\Web Page\vi0100b.htm"</definedName>
    <definedName name="HTML2_2" hidden="1">1</definedName>
    <definedName name="HTML2_3" hidden="1">"100 km Populaire"</definedName>
    <definedName name="HTML2_4" hidden="1">"VI0100B 970310"</definedName>
    <definedName name="HTML2_5" hidden="1">"Nanaimo--Lantzville--Nanaimo--Yellow Point--Nanaimo"</definedName>
    <definedName name="HTML2_6" hidden="1">1</definedName>
    <definedName name="HTML2_7" hidden="1">1</definedName>
    <definedName name="HTML2_8" hidden="1">"26/10/97"</definedName>
    <definedName name="HTML2_9" hidden="1">"Stephen Hinde"</definedName>
    <definedName name="HTML3_1" hidden="1">"'[vi0100b.xls]VI0100B 970310'!$A$1:$D$24"</definedName>
    <definedName name="HTML3_10" hidden="1">"randos@island.net"</definedName>
    <definedName name="HTML3_11" hidden="1">1</definedName>
    <definedName name="HTML3_12" hidden="1">"C:\My Documents\excel\vi0100b.htm"</definedName>
    <definedName name="HTML3_2" hidden="1">1</definedName>
    <definedName name="HTML3_3" hidden="1">"Vancouver Island Populaire"</definedName>
    <definedName name="HTML3_4" hidden="1">"VI0100B 970310"</definedName>
    <definedName name="HTML3_5" hidden="1">"Nanaimo--Lantzville--Yellow Point--Nanaimo"</definedName>
    <definedName name="HTML3_6" hidden="1">1</definedName>
    <definedName name="HTML3_7" hidden="1">1</definedName>
    <definedName name="HTML3_8" hidden="1">"26/10/97"</definedName>
    <definedName name="HTML3_9" hidden="1">"Stephen Hinde"</definedName>
    <definedName name="HTML4_1" hidden="1">"'[VI0100B.xls]VI0100B 971026'!$A$1:$I$47"</definedName>
    <definedName name="HTML4_10" hidden="1">""</definedName>
    <definedName name="HTML4_11" hidden="1">1</definedName>
    <definedName name="HTML4_12" hidden="1">"C:\My Documents\Web Page\VI0100B.htm"</definedName>
    <definedName name="HTML4_2" hidden="1">1</definedName>
    <definedName name="HTML4_3" hidden="1">"VI0100B"</definedName>
    <definedName name="HTML4_4" hidden="1">"VI0100B 971026"</definedName>
    <definedName name="HTML4_5" hidden="1">""</definedName>
    <definedName name="HTML4_6" hidden="1">-4146</definedName>
    <definedName name="HTML4_7" hidden="1">-4146</definedName>
    <definedName name="HTML4_8" hidden="1">"26/10/97"</definedName>
    <definedName name="HTML4_9" hidden="1">"Stephen Hinde"</definedName>
    <definedName name="HTML5_1" hidden="1">"'[VI0100B.xls]VI0100B 971026'!$A$1:$I$23"</definedName>
    <definedName name="HTML5_10" hidden="1">""</definedName>
    <definedName name="HTML5_11" hidden="1">1</definedName>
    <definedName name="HTML5_12" hidden="1">"C:\My Documents\Web Page\VI0100B top.htm"</definedName>
    <definedName name="HTML5_2" hidden="1">1</definedName>
    <definedName name="HTML5_3" hidden="1">"VI0100B"</definedName>
    <definedName name="HTML5_4" hidden="1">"VI0100B 971026"</definedName>
    <definedName name="HTML5_5" hidden="1">""</definedName>
    <definedName name="HTML5_6" hidden="1">-4146</definedName>
    <definedName name="HTML5_7" hidden="1">-4146</definedName>
    <definedName name="HTML5_8" hidden="1">"97-10-26"</definedName>
    <definedName name="HTML5_9" hidden="1">"Stephen Hinde"</definedName>
    <definedName name="HTML6_1" hidden="1">"'[VI0100B.xls]VI0100B 971026'!$A$25:$I$47"</definedName>
    <definedName name="HTML6_10" hidden="1">""</definedName>
    <definedName name="HTML6_11" hidden="1">1</definedName>
    <definedName name="HTML6_12" hidden="1">"C:\My Documents\Web Page\VI0100B bottom"</definedName>
    <definedName name="HTML6_2" hidden="1">1</definedName>
    <definedName name="HTML6_3" hidden="1">"VI0100B"</definedName>
    <definedName name="HTML6_4" hidden="1">"VI0100B 971026"</definedName>
    <definedName name="HTML6_5" hidden="1">""</definedName>
    <definedName name="HTML6_6" hidden="1">-4146</definedName>
    <definedName name="HTML6_7" hidden="1">-4146</definedName>
    <definedName name="HTML6_8" hidden="1">"97-10-26"</definedName>
    <definedName name="HTML6_9" hidden="1">"Stephen Hinde"</definedName>
    <definedName name="HTML7_1" hidden="1">"'[VI0200A  Tour of Cowichan Valley.xls]Web sheet'!$A$1:$E$92"</definedName>
    <definedName name="HTML7_10" hidden="1">"randos@island.net"</definedName>
    <definedName name="HTML7_11" hidden="1">1</definedName>
    <definedName name="HTML7_12" hidden="1">"C:\My Documents\Web Page\200km_route_sheet.htm"</definedName>
    <definedName name="HTML7_2" hidden="1">1</definedName>
    <definedName name="HTML7_3" hidden="1">"VI0200A  Tour of Cowichan Valley"</definedName>
    <definedName name="HTML7_4" hidden="1">"Vancouver Island 200 km Brevet"</definedName>
    <definedName name="HTML7_5" hidden="1">""</definedName>
    <definedName name="HTML7_6" hidden="1">1</definedName>
    <definedName name="HTML7_7" hidden="1">1</definedName>
    <definedName name="HTML7_8" hidden="1">"97-11-23"</definedName>
    <definedName name="HTML7_9" hidden="1">"Stephen Hinde"</definedName>
    <definedName name="HTML8_1" hidden="1">"'[VI0300A  Duncan--Victoria.xls]Web sheet'!$A$1:$E$161"</definedName>
    <definedName name="HTML8_10" hidden="1">"randos@island.net"</definedName>
    <definedName name="HTML8_11" hidden="1">1</definedName>
    <definedName name="HTML8_12" hidden="1">"C:\My Documents\Web Page\300km_route_sheet_duncan.htm"</definedName>
    <definedName name="HTML8_2" hidden="1">1</definedName>
    <definedName name="HTML8_3" hidden="1">"VI0300A  Duncan--Victoria"</definedName>
    <definedName name="HTML8_4" hidden="1">"Web sheet"</definedName>
    <definedName name="HTML8_5" hidden="1">""</definedName>
    <definedName name="HTML8_6" hidden="1">1</definedName>
    <definedName name="HTML8_7" hidden="1">1</definedName>
    <definedName name="HTML8_8" hidden="1">"98-01-25"</definedName>
    <definedName name="HTML8_9" hidden="1">"Stephen Hinde"</definedName>
    <definedName name="HTMLCount" hidden="1">8</definedName>
    <definedName name="Initial" localSheetId="2">#REF!</definedName>
    <definedName name="Initial">#REF!</definedName>
    <definedName name="Locale">'Control Entry'!$E$10:$E$19</definedName>
    <definedName name="Max_time">'Control Entry'!$B$2</definedName>
    <definedName name="Open">'Control Entry'!$L$10:$L$19</definedName>
    <definedName name="Open_time">'Control Entry'!$N$10:$N$19</definedName>
    <definedName name="Postal_Code" localSheetId="2">#REF!</definedName>
    <definedName name="Postal_Code">#REF!</definedName>
    <definedName name="_xlnm.Print_Area" localSheetId="1">'Control Card #1'!$A$1:$V$33</definedName>
    <definedName name="_xlnm.Print_Titles" localSheetId="1">'Control Card #1'!$1:$2</definedName>
    <definedName name="_xlnm.Print_Titles" localSheetId="2">'Control Card #2'!$1:$2</definedName>
    <definedName name="Province_State" localSheetId="2">#REF!</definedName>
    <definedName name="Province_State">#REF!</definedName>
    <definedName name="Start_date">'Control Entry'!$B$7</definedName>
    <definedName name="Start_time">'Control Entry'!$B$8</definedName>
    <definedName name="surname" localSheetId="2">#REF!</definedName>
    <definedName name="surname">#REF!</definedName>
    <definedName name="Work_telephone" localSheetId="2">#REF!</definedName>
    <definedName name="Work_telephone">#REF!</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24" i="2" l="1"/>
  <c r="E3" i="3" l="1"/>
  <c r="E4" i="3"/>
  <c r="E27" i="2" l="1"/>
  <c r="E16" i="2"/>
  <c r="E11" i="2"/>
  <c r="E5" i="2"/>
  <c r="D12" i="3"/>
  <c r="E12" i="3"/>
  <c r="E29" i="2"/>
  <c r="E28" i="2"/>
  <c r="E25" i="2"/>
  <c r="E24" i="2"/>
  <c r="E10" i="2"/>
  <c r="E3" i="2" l="1"/>
  <c r="D3" i="2"/>
  <c r="E7" i="3" l="1"/>
  <c r="E8" i="3" l="1"/>
  <c r="F5" i="2"/>
  <c r="T8" i="3"/>
  <c r="L8" i="3"/>
  <c r="F32" i="2"/>
  <c r="F31" i="2"/>
  <c r="F29" i="2"/>
  <c r="F26" i="2"/>
  <c r="F25" i="2"/>
  <c r="F23" i="2"/>
  <c r="F22" i="2"/>
  <c r="F20" i="2"/>
  <c r="F19" i="2"/>
  <c r="F17" i="2"/>
  <c r="F16" i="2"/>
  <c r="F14" i="2"/>
  <c r="F13" i="2"/>
  <c r="F11" i="2"/>
  <c r="F10" i="2"/>
  <c r="F8" i="2"/>
  <c r="F7" i="2"/>
  <c r="F4" i="2"/>
  <c r="L10" i="1"/>
  <c r="N10" i="1" s="1"/>
  <c r="F32" i="3"/>
  <c r="F31" i="3"/>
  <c r="F30" i="3"/>
  <c r="F29" i="3"/>
  <c r="F28" i="3"/>
  <c r="F27" i="3"/>
  <c r="F26" i="3"/>
  <c r="F25" i="3"/>
  <c r="F24" i="3"/>
  <c r="F23" i="3"/>
  <c r="F22" i="3"/>
  <c r="F21" i="3"/>
  <c r="F20" i="3"/>
  <c r="F19" i="3"/>
  <c r="F18" i="3"/>
  <c r="F17" i="3"/>
  <c r="F16" i="3"/>
  <c r="F15" i="3"/>
  <c r="F14" i="3"/>
  <c r="F13" i="3"/>
  <c r="F11" i="3"/>
  <c r="F10" i="3"/>
  <c r="F7" i="3"/>
  <c r="F8" i="3"/>
  <c r="F5" i="3"/>
  <c r="F4" i="3"/>
  <c r="E32" i="3"/>
  <c r="E31" i="3"/>
  <c r="E30" i="3"/>
  <c r="E29" i="3"/>
  <c r="E28" i="3"/>
  <c r="E27" i="3"/>
  <c r="E26" i="3"/>
  <c r="E25" i="3"/>
  <c r="E24" i="3"/>
  <c r="E23" i="3"/>
  <c r="E22" i="3"/>
  <c r="E21" i="3"/>
  <c r="E20" i="3"/>
  <c r="E19" i="3"/>
  <c r="E18" i="3"/>
  <c r="E17" i="3"/>
  <c r="E16" i="3"/>
  <c r="E15" i="3"/>
  <c r="E14" i="3"/>
  <c r="E13" i="3"/>
  <c r="E11" i="3"/>
  <c r="E10" i="3"/>
  <c r="E9" i="3"/>
  <c r="E6" i="3"/>
  <c r="L24" i="1"/>
  <c r="L25" i="1"/>
  <c r="L26" i="1"/>
  <c r="M26" i="1"/>
  <c r="L27" i="1"/>
  <c r="M27" i="1"/>
  <c r="L28" i="1"/>
  <c r="M28" i="1"/>
  <c r="L29" i="1"/>
  <c r="M29" i="1"/>
  <c r="L30" i="1"/>
  <c r="M30" i="1"/>
  <c r="L31" i="1"/>
  <c r="M31" i="1"/>
  <c r="L32" i="1"/>
  <c r="M32" i="1"/>
  <c r="L23" i="1"/>
  <c r="C1" i="1"/>
  <c r="M24" i="1" s="1"/>
  <c r="D31" i="3"/>
  <c r="D28" i="3"/>
  <c r="D25" i="3"/>
  <c r="D22" i="3"/>
  <c r="D19" i="3"/>
  <c r="D16" i="3"/>
  <c r="D9" i="3"/>
  <c r="D6" i="3"/>
  <c r="D3" i="3"/>
  <c r="A31" i="3"/>
  <c r="A28" i="3"/>
  <c r="A25" i="3"/>
  <c r="A22" i="3"/>
  <c r="A19" i="3"/>
  <c r="A16" i="3"/>
  <c r="A13" i="3"/>
  <c r="A10" i="3"/>
  <c r="A7" i="3"/>
  <c r="A4" i="3"/>
  <c r="M19" i="1"/>
  <c r="L19" i="1"/>
  <c r="M18" i="1"/>
  <c r="L18" i="1"/>
  <c r="M17" i="1"/>
  <c r="L17" i="1"/>
  <c r="M16" i="1"/>
  <c r="L16" i="1"/>
  <c r="M15" i="1"/>
  <c r="L15" i="1"/>
  <c r="M14" i="1"/>
  <c r="L14" i="1"/>
  <c r="M13" i="1"/>
  <c r="L13" i="1"/>
  <c r="M12" i="1"/>
  <c r="L12" i="1"/>
  <c r="M11" i="1"/>
  <c r="L11" i="1"/>
  <c r="L6" i="3"/>
  <c r="R5" i="3"/>
  <c r="P5" i="3"/>
  <c r="L6" i="2"/>
  <c r="S20" i="2"/>
  <c r="R5" i="2"/>
  <c r="P5" i="2"/>
  <c r="A7" i="2"/>
  <c r="E32" i="2"/>
  <c r="E31" i="2"/>
  <c r="E30" i="2"/>
  <c r="E23" i="2"/>
  <c r="E22" i="2"/>
  <c r="E21" i="2"/>
  <c r="E20" i="2"/>
  <c r="E19" i="2"/>
  <c r="E18" i="2"/>
  <c r="E15" i="2"/>
  <c r="E14" i="2"/>
  <c r="E13" i="2"/>
  <c r="E12" i="2"/>
  <c r="E9" i="2"/>
  <c r="E8" i="2"/>
  <c r="E7" i="2"/>
  <c r="E6" i="2"/>
  <c r="D27" i="2"/>
  <c r="D30" i="2"/>
  <c r="A31" i="2"/>
  <c r="A4" i="2"/>
  <c r="D19" i="2"/>
  <c r="D15" i="2"/>
  <c r="D12" i="2"/>
  <c r="D9" i="2"/>
  <c r="D7" i="2"/>
  <c r="D21" i="2"/>
  <c r="A28" i="2"/>
  <c r="A25" i="2"/>
  <c r="A22" i="2"/>
  <c r="A19" i="2"/>
  <c r="A10" i="2"/>
  <c r="A16" i="2"/>
  <c r="A13" i="2"/>
  <c r="M4" i="3" l="1"/>
  <c r="M23" i="1"/>
  <c r="O12" i="1"/>
  <c r="C11" i="2" s="1"/>
  <c r="O23" i="1"/>
  <c r="C3" i="3" s="1"/>
  <c r="N31" i="1"/>
  <c r="B29" i="3" s="1"/>
  <c r="N29" i="1"/>
  <c r="B23" i="3" s="1"/>
  <c r="N27" i="1"/>
  <c r="B17" i="3" s="1"/>
  <c r="N25" i="1"/>
  <c r="B11" i="3" s="1"/>
  <c r="O32" i="1"/>
  <c r="C30" i="3" s="1"/>
  <c r="O30" i="1"/>
  <c r="C24" i="3" s="1"/>
  <c r="O28" i="1"/>
  <c r="C18" i="3" s="1"/>
  <c r="O26" i="1"/>
  <c r="C12" i="3" s="1"/>
  <c r="O24" i="1"/>
  <c r="C6" i="3" s="1"/>
  <c r="N32" i="1"/>
  <c r="B32" i="3" s="1"/>
  <c r="N28" i="1"/>
  <c r="B20" i="3" s="1"/>
  <c r="N24" i="1"/>
  <c r="B8" i="3" s="1"/>
  <c r="N26" i="1"/>
  <c r="B14" i="3" s="1"/>
  <c r="N23" i="1"/>
  <c r="B5" i="3" s="1"/>
  <c r="O31" i="1"/>
  <c r="C27" i="3" s="1"/>
  <c r="O29" i="1"/>
  <c r="C21" i="3" s="1"/>
  <c r="O27" i="1"/>
  <c r="C15" i="3" s="1"/>
  <c r="N30" i="1"/>
  <c r="B26" i="3" s="1"/>
  <c r="N19" i="1"/>
  <c r="B32" i="2" s="1"/>
  <c r="O19" i="1"/>
  <c r="N18" i="1"/>
  <c r="B27" i="2" s="1"/>
  <c r="O18" i="1"/>
  <c r="N17" i="1"/>
  <c r="B24" i="2" s="1"/>
  <c r="O17" i="1"/>
  <c r="C26" i="2" s="1"/>
  <c r="N16" i="1"/>
  <c r="B22" i="2" s="1"/>
  <c r="O16" i="1"/>
  <c r="C21" i="2" s="1"/>
  <c r="N15" i="1"/>
  <c r="B20" i="2" s="1"/>
  <c r="O15" i="1"/>
  <c r="C20" i="2" s="1"/>
  <c r="N14" i="1"/>
  <c r="B16" i="2" s="1"/>
  <c r="O14" i="1"/>
  <c r="C15" i="2" s="1"/>
  <c r="O11" i="1"/>
  <c r="C8" i="2" s="1"/>
  <c r="N13" i="1"/>
  <c r="B14" i="2" s="1"/>
  <c r="N12" i="1"/>
  <c r="B11" i="2" s="1"/>
  <c r="O13" i="1"/>
  <c r="C14" i="2" s="1"/>
  <c r="N11" i="1"/>
  <c r="B6" i="2" s="1"/>
  <c r="B4" i="2"/>
  <c r="B3" i="2"/>
  <c r="B5" i="2"/>
  <c r="M10" i="1"/>
  <c r="O10" i="1" s="1"/>
  <c r="M4" i="2"/>
  <c r="B2" i="1"/>
  <c r="M25" i="1" s="1"/>
  <c r="O25" i="1" s="1"/>
  <c r="C9" i="3" s="1"/>
  <c r="B17" i="2" l="1"/>
  <c r="C9" i="2"/>
  <c r="C10" i="2"/>
  <c r="C31" i="3"/>
  <c r="C17" i="3"/>
  <c r="C16" i="3"/>
  <c r="B12" i="3"/>
  <c r="C8" i="3"/>
  <c r="C7" i="3"/>
  <c r="B13" i="3"/>
  <c r="B27" i="3"/>
  <c r="B28" i="3"/>
  <c r="C32" i="3"/>
  <c r="B28" i="2"/>
  <c r="C10" i="3"/>
  <c r="C14" i="3"/>
  <c r="B16" i="3"/>
  <c r="B31" i="3"/>
  <c r="B30" i="3"/>
  <c r="C19" i="3"/>
  <c r="C26" i="3"/>
  <c r="B21" i="3"/>
  <c r="C25" i="3"/>
  <c r="B22" i="3"/>
  <c r="C11" i="3"/>
  <c r="B15" i="3"/>
  <c r="B10" i="3"/>
  <c r="B9" i="3"/>
  <c r="C13" i="3"/>
  <c r="B26" i="2"/>
  <c r="B19" i="3"/>
  <c r="C20" i="3"/>
  <c r="B21" i="2"/>
  <c r="C29" i="3"/>
  <c r="C28" i="3"/>
  <c r="B25" i="3"/>
  <c r="B18" i="3"/>
  <c r="B29" i="2"/>
  <c r="C4" i="3"/>
  <c r="B4" i="3"/>
  <c r="C5" i="3"/>
  <c r="B3" i="3"/>
  <c r="B24" i="3"/>
  <c r="B31" i="2"/>
  <c r="B30" i="2"/>
  <c r="C22" i="3"/>
  <c r="B7" i="3"/>
  <c r="C23" i="3"/>
  <c r="B6" i="3"/>
  <c r="B25" i="2"/>
  <c r="B18" i="2"/>
  <c r="B19" i="2"/>
  <c r="B15" i="2"/>
  <c r="B10" i="2"/>
  <c r="B9" i="2"/>
  <c r="B23" i="2"/>
  <c r="C32" i="2"/>
  <c r="C30" i="2"/>
  <c r="C31" i="2"/>
  <c r="C27" i="2"/>
  <c r="C28" i="2"/>
  <c r="C29" i="2"/>
  <c r="C6" i="2"/>
  <c r="C24" i="2"/>
  <c r="C25" i="2"/>
  <c r="C23" i="2"/>
  <c r="C22" i="2"/>
  <c r="C18" i="2"/>
  <c r="C19" i="2"/>
  <c r="C7" i="2"/>
  <c r="B12" i="2"/>
  <c r="C16" i="2"/>
  <c r="C17" i="2"/>
  <c r="B7" i="2"/>
  <c r="B13" i="2"/>
  <c r="C12" i="2"/>
  <c r="C13" i="2"/>
  <c r="B8" i="2"/>
  <c r="C4" i="2"/>
  <c r="C3" i="2"/>
  <c r="C5" i="2"/>
</calcChain>
</file>

<file path=xl/comments1.xml><?xml version="1.0" encoding="utf-8"?>
<comments xmlns="http://schemas.openxmlformats.org/spreadsheetml/2006/main">
  <authors>
    <author>Stephen Hinde</author>
    <author>A satisfied Microsoft Office user</author>
  </authors>
  <commentList>
    <comment ref="B1" authorId="0">
      <text>
        <r>
          <rPr>
            <b/>
            <sz val="10"/>
            <color rgb="FF000000"/>
            <rFont val="Tahoma"/>
            <family val="2"/>
          </rPr>
          <t>Stephen Hinde:</t>
        </r>
        <r>
          <rPr>
            <sz val="10"/>
            <color rgb="FF000000"/>
            <rFont val="Tahoma"/>
            <family val="2"/>
          </rPr>
          <t xml:space="preserve">
</t>
        </r>
        <r>
          <rPr>
            <sz val="10"/>
            <color rgb="FF000000"/>
            <rFont val="Tahoma"/>
            <family val="2"/>
          </rPr>
          <t xml:space="preserve">Nominal ACP distance
</t>
        </r>
        <r>
          <rPr>
            <sz val="10"/>
            <color rgb="FF000000"/>
            <rFont val="Tahoma"/>
            <family val="2"/>
          </rPr>
          <t xml:space="preserve">
</t>
        </r>
        <r>
          <rPr>
            <sz val="10"/>
            <color rgb="FF000000"/>
            <rFont val="Tahoma"/>
            <family val="2"/>
          </rPr>
          <t>eg 200, 300, 400, 600</t>
        </r>
      </text>
    </comment>
    <comment ref="B2" authorId="1">
      <text>
        <r>
          <rPr>
            <sz val="8"/>
            <color rgb="FF000000"/>
            <rFont val="Tahoma"/>
            <family val="2"/>
          </rPr>
          <t>Partial result of closing time calculation to avoid limitation of only 7 nested functions</t>
        </r>
      </text>
    </comment>
    <comment ref="B4" authorId="0">
      <text>
        <r>
          <rPr>
            <b/>
            <sz val="10"/>
            <color rgb="FF000000"/>
            <rFont val="Tahoma"/>
            <family val="2"/>
          </rPr>
          <t>Stephen Hinde:</t>
        </r>
        <r>
          <rPr>
            <sz val="10"/>
            <color rgb="FF000000"/>
            <rFont val="Tahoma"/>
            <family val="2"/>
          </rPr>
          <t xml:space="preserve">
</t>
        </r>
        <r>
          <rPr>
            <sz val="10"/>
            <color rgb="FF000000"/>
            <rFont val="Tahoma"/>
            <family val="2"/>
          </rPr>
          <t>On event page</t>
        </r>
      </text>
    </comment>
    <comment ref="B5" authorId="0">
      <text>
        <r>
          <rPr>
            <b/>
            <sz val="10"/>
            <color rgb="FF000000"/>
            <rFont val="Tahoma"/>
            <family val="2"/>
          </rPr>
          <t>Stephen Hinde:</t>
        </r>
        <r>
          <rPr>
            <sz val="10"/>
            <color rgb="FF000000"/>
            <rFont val="Tahoma"/>
            <family val="2"/>
          </rPr>
          <t xml:space="preserve">
</t>
        </r>
        <r>
          <rPr>
            <sz val="10"/>
            <color rgb="FF000000"/>
            <rFont val="Tahoma"/>
            <family val="2"/>
          </rPr>
          <t>Official ACP date</t>
        </r>
      </text>
    </comment>
    <comment ref="B7" authorId="0">
      <text>
        <r>
          <rPr>
            <b/>
            <sz val="10"/>
            <color rgb="FF000000"/>
            <rFont val="Tahoma"/>
            <family val="2"/>
          </rPr>
          <t>Stephen Hinde:</t>
        </r>
        <r>
          <rPr>
            <sz val="10"/>
            <color rgb="FF000000"/>
            <rFont val="Tahoma"/>
            <family val="2"/>
          </rPr>
          <t xml:space="preserve">
</t>
        </r>
        <r>
          <rPr>
            <sz val="10"/>
            <color rgb="FF000000"/>
            <rFont val="Tahoma"/>
            <family val="2"/>
          </rPr>
          <t xml:space="preserve">Actual date
</t>
        </r>
        <r>
          <rPr>
            <sz val="10"/>
            <color rgb="FF000000"/>
            <rFont val="Tahoma"/>
            <family val="2"/>
          </rPr>
          <t xml:space="preserve">
</t>
        </r>
        <r>
          <rPr>
            <sz val="10"/>
            <color rgb="FF000000"/>
            <rFont val="Tahoma"/>
            <family val="2"/>
          </rPr>
          <t>Recommend using Schedule date</t>
        </r>
      </text>
    </comment>
  </commentList>
</comments>
</file>

<file path=xl/sharedStrings.xml><?xml version="1.0" encoding="utf-8"?>
<sst xmlns="http://schemas.openxmlformats.org/spreadsheetml/2006/main" count="228" uniqueCount="131">
  <si>
    <t>Start time</t>
  </si>
  <si>
    <t>Finish time</t>
  </si>
  <si>
    <t>Elapsed time</t>
  </si>
  <si>
    <t>Open</t>
  </si>
  <si>
    <t>Close</t>
  </si>
  <si>
    <t>Open time</t>
  </si>
  <si>
    <t>Close time</t>
  </si>
  <si>
    <t>Control 1</t>
  </si>
  <si>
    <t>Control 2</t>
  </si>
  <si>
    <t>Control 3</t>
  </si>
  <si>
    <t>Control 4</t>
  </si>
  <si>
    <t>Control 5</t>
  </si>
  <si>
    <t>Control 6</t>
  </si>
  <si>
    <t>Control 7</t>
  </si>
  <si>
    <t>Control 8</t>
  </si>
  <si>
    <t>Control 9</t>
  </si>
  <si>
    <t>Control 10</t>
  </si>
  <si>
    <t>Rider's signature at completion</t>
  </si>
  <si>
    <t>Brevet Length:</t>
  </si>
  <si>
    <t>Maximum Time:</t>
  </si>
  <si>
    <t>Brevet Description:</t>
  </si>
  <si>
    <t>Brevet Number:</t>
  </si>
  <si>
    <t>Start Date:</t>
  </si>
  <si>
    <t>Start Time:</t>
  </si>
  <si>
    <t>Distance</t>
  </si>
  <si>
    <t>Locale</t>
  </si>
  <si>
    <t>Establishment 1</t>
  </si>
  <si>
    <t>Establishment 2</t>
  </si>
  <si>
    <t>Establishment 3</t>
  </si>
  <si>
    <t>|</t>
  </si>
  <si>
    <t>DIST (km)</t>
  </si>
  <si>
    <t>Establishment</t>
  </si>
  <si>
    <t>Time of Passage</t>
  </si>
  <si>
    <t>Control Card</t>
  </si>
  <si>
    <t>Name</t>
  </si>
  <si>
    <t>Address</t>
  </si>
  <si>
    <t>City</t>
  </si>
  <si>
    <t>Province/State</t>
  </si>
  <si>
    <t>Country</t>
  </si>
  <si>
    <t>Postal Code</t>
  </si>
  <si>
    <t>Telephone</t>
  </si>
  <si>
    <t>email</t>
  </si>
  <si>
    <t>Randonneur Committee Authorization</t>
  </si>
  <si>
    <t>Report results or abandonment through registration email link</t>
  </si>
  <si>
    <r>
      <t xml:space="preserve">Please </t>
    </r>
    <r>
      <rPr>
        <b/>
        <i/>
        <sz val="16"/>
        <rFont val="Arial"/>
        <family val="2"/>
      </rPr>
      <t>answer questions</t>
    </r>
    <r>
      <rPr>
        <i/>
        <sz val="16"/>
        <rFont val="Arial"/>
        <family val="2"/>
      </rPr>
      <t xml:space="preserve"> and</t>
    </r>
    <r>
      <rPr>
        <b/>
        <i/>
        <sz val="16"/>
        <rFont val="Arial"/>
        <family val="2"/>
      </rPr>
      <t xml:space="preserve"> note time of day</t>
    </r>
  </si>
  <si>
    <t>Start Date</t>
  </si>
  <si>
    <t>Finish Date</t>
  </si>
  <si>
    <t>Member #</t>
  </si>
  <si>
    <t xml:space="preserve">Brevet No. </t>
  </si>
  <si>
    <t>Schedule date:</t>
  </si>
  <si>
    <t>Single</t>
  </si>
  <si>
    <t>Tandem</t>
  </si>
  <si>
    <t>Fixed</t>
  </si>
  <si>
    <t>Recumbent</t>
  </si>
  <si>
    <t>Velomobile</t>
  </si>
  <si>
    <t>(only add if change needed to database)</t>
  </si>
  <si>
    <t>Founding member of LES RANDONNEURS MONDIAUX (1983)</t>
  </si>
  <si>
    <t>Bicycle Type
Circle one</t>
  </si>
  <si>
    <t>-------&gt;</t>
  </si>
  <si>
    <t>Ride Day Emergency Contact</t>
  </si>
  <si>
    <t>Signature/Answer</t>
  </si>
  <si>
    <t>Control Card #1</t>
  </si>
  <si>
    <t>Control Card #2</t>
  </si>
  <si>
    <t>Complete ride details on Card #1</t>
  </si>
  <si>
    <t>Signature/Answer 1</t>
  </si>
  <si>
    <t>Signature/Answer 2</t>
  </si>
  <si>
    <t>Signature/Answer 3</t>
  </si>
  <si>
    <t>Instructions</t>
  </si>
  <si>
    <t>Fill nominal brevet length.  This is the ACP distance eg 200, 300, 1000</t>
  </si>
  <si>
    <t>Maximum allowable time automatically calculated</t>
  </si>
  <si>
    <t>Enter the brevet name eg 'Remembrance Day Brevet'</t>
  </si>
  <si>
    <t>Enter the brevet number.  This is the BCR database number, and can be found on the event page in the database</t>
  </si>
  <si>
    <t>Enter the schedule date.  This is the official ACP listed date and can be found on the shcedule on the website</t>
  </si>
  <si>
    <t>Enter the start date.  This will always be the same as the schedule date, unless a ride window has been enabled.</t>
  </si>
  <si>
    <t>Enter the start time.  This will always be the official ACP listed start time found on the event page, unless a ride window has been enabled.</t>
  </si>
  <si>
    <t>Fill in the control distance.  The opening and closing times will be automatically calculated based on the start time and the brevet distance.  If you need more than 10 controls, use card #2, otherwise leave that section blank.</t>
  </si>
  <si>
    <t>Fill in the Locale (city) for each control.  Establishment 1, 2, and 3 can be used to describe the control itself eg Locale Hope  Est.1 Dairy Queen Est.2 817 Water Ave Est. 3 (leaft blank)</t>
  </si>
  <si>
    <t>When using information controls, you can put your question in the Signature/Answer section eg Sig/Ans.1 Sign on main door  Sig/Ans. 2  This week's special is?  Sig/Ans. 3 ________________</t>
  </si>
  <si>
    <t>Control Card #1 Information Control Question (optional)</t>
  </si>
  <si>
    <t>Note:  Control Card #1 will only show '#1' if a distance is entered into the first distance box for Control Card #2</t>
  </si>
  <si>
    <t>Control Card #2 Information Control Question (optional)</t>
  </si>
  <si>
    <t>Sponsored by which club?</t>
  </si>
  <si>
    <t xml:space="preserve"> NW corner 12 Ave and 56 St Tsawwassen</t>
  </si>
  <si>
    <t>Tsawwassen-Tsawwassen-Tsawwassen</t>
  </si>
  <si>
    <t>Abbotsford</t>
  </si>
  <si>
    <t xml:space="preserve">B St &amp; 2 Ave </t>
  </si>
  <si>
    <t>Back Stop Sign</t>
  </si>
  <si>
    <t>Chilliwack</t>
  </si>
  <si>
    <t>Your hosts are _____?</t>
  </si>
  <si>
    <t>Greendale Liquor Store</t>
  </si>
  <si>
    <t>1st Ave &amp; English Bluff Rd Tsawwassen</t>
  </si>
  <si>
    <t xml:space="preserve">20ft before stop sign      </t>
  </si>
  <si>
    <t>Derby Reach Regional Park Heritage Area</t>
  </si>
  <si>
    <t>Entrance</t>
  </si>
  <si>
    <t>Back of Stop Sign</t>
  </si>
  <si>
    <t>Year?</t>
  </si>
  <si>
    <t>Red fire hydrant</t>
  </si>
  <si>
    <t>NW corner</t>
  </si>
  <si>
    <t xml:space="preserve"> 56 St &amp; driveway to McDonalds Tsawwassen</t>
  </si>
  <si>
    <t>Raitt Rd Historic Marker on yellow sign</t>
  </si>
  <si>
    <t>Before gate on left</t>
  </si>
  <si>
    <t>Yellow pole with Phone/Intercom</t>
  </si>
  <si>
    <t>Lonzo Rd &amp; Vedder Way Abbotsford</t>
  </si>
  <si>
    <t>Lefeuvre Rd &amp; River Rd Abbotsford</t>
  </si>
  <si>
    <t xml:space="preserve">Utility pole </t>
  </si>
  <si>
    <t>Budget Clearing and Brush Control</t>
  </si>
  <si>
    <t>Phone #?</t>
  </si>
  <si>
    <t>Sign above entrance door</t>
  </si>
  <si>
    <t xml:space="preserve">Hope  </t>
  </si>
  <si>
    <t>Chevron</t>
  </si>
  <si>
    <t>Year on LOWER yellow sticker?</t>
  </si>
  <si>
    <t>Two words on drop box?</t>
  </si>
  <si>
    <t>Drop box (large mail slot) to right of door</t>
  </si>
  <si>
    <t>Blue-green sticker on door</t>
  </si>
  <si>
    <t>Protected by?</t>
  </si>
  <si>
    <t>White and Blue Fire Hydrant</t>
  </si>
  <si>
    <t>Serial # on fire hydrant?</t>
  </si>
  <si>
    <t>Phone # for parcels?</t>
  </si>
  <si>
    <t>Yellow sticker</t>
  </si>
  <si>
    <t>Sumas Mt Rd Abbotsford</t>
  </si>
  <si>
    <t>Pavement Ends Sign</t>
  </si>
  <si>
    <t>Blue sticker on back of sign</t>
  </si>
  <si>
    <t>Word on sticker?</t>
  </si>
  <si>
    <t>50 ft past corner</t>
  </si>
  <si>
    <t>White and blue fire hydrant</t>
  </si>
  <si>
    <t>Back of stop sign</t>
  </si>
  <si>
    <t>Two letters inside circle?</t>
  </si>
  <si>
    <t>Hwy 9 just before Hwy7 Agassiz</t>
  </si>
  <si>
    <t>Hope River Store,  Emory Creek Park Rd &amp; Hwy 1</t>
  </si>
  <si>
    <t>(10 ft beyond bus stop sign)</t>
  </si>
  <si>
    <t>Alaksen National Wildlife Area Westham Island</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</si>
</sst>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dd/mmm/yy\ hh:mm\ AM/PM"/>
    <numFmt numFmtId="165" formatCode="d/mmm/yy"/>
    <numFmt numFmtId="166" formatCode="dddd"/>
    <numFmt numFmtId="167" formatCode="0.0"/>
    <numFmt numFmtId="168" formatCode="mmmm\ d\,\ yyyy"/>
    <numFmt numFmtId="169" formatCode="[&lt;=9999999]###\-####;\(###\)\ ###\-####"/>
  </numFmts>
  <fonts count="31" x14ac:knownFonts="1">
    <font>
      <sz val="10"/>
      <name val="Arial"/>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0"/>
      <name val="Arial"/>
      <family val="2"/>
    </font>
    <font>
      <sz val="12"/>
      <name val="Arial"/>
      <family val="2"/>
    </font>
    <font>
      <sz val="14"/>
      <name val="Arial"/>
      <family val="2"/>
    </font>
    <font>
      <sz val="20"/>
      <name val="Arial"/>
      <family val="2"/>
    </font>
    <font>
      <sz val="36"/>
      <name val="Arial"/>
      <family val="2"/>
    </font>
    <font>
      <sz val="16"/>
      <name val="Arial"/>
      <family val="2"/>
    </font>
    <font>
      <i/>
      <sz val="14"/>
      <name val="Arial"/>
      <family val="2"/>
    </font>
    <font>
      <sz val="18"/>
      <name val="Arial"/>
      <family val="2"/>
    </font>
    <font>
      <sz val="14"/>
      <name val="Arial Narrow"/>
      <family val="2"/>
    </font>
    <font>
      <b/>
      <sz val="14"/>
      <name val="Arial Narrow"/>
      <family val="2"/>
    </font>
    <font>
      <b/>
      <sz val="16"/>
      <name val="Arial Narrow"/>
      <family val="2"/>
    </font>
    <font>
      <sz val="8"/>
      <name val="Arial"/>
      <family val="2"/>
    </font>
    <font>
      <u/>
      <sz val="10"/>
      <color theme="10"/>
      <name val="Arial"/>
      <family val="2"/>
    </font>
    <font>
      <u/>
      <sz val="10"/>
      <color theme="11"/>
      <name val="Arial"/>
      <family val="2"/>
    </font>
    <font>
      <b/>
      <sz val="16"/>
      <name val="Arial"/>
      <family val="2"/>
    </font>
    <font>
      <sz val="8"/>
      <color rgb="FF000000"/>
      <name val="Tahoma"/>
      <family val="2"/>
    </font>
    <font>
      <i/>
      <sz val="16"/>
      <name val="Arial"/>
      <family val="2"/>
    </font>
    <font>
      <b/>
      <i/>
      <sz val="16"/>
      <name val="Arial"/>
      <family val="2"/>
    </font>
    <font>
      <sz val="16"/>
      <name val="Arial Narrow"/>
      <family val="2"/>
    </font>
    <font>
      <sz val="20"/>
      <color theme="0" tint="-0.14999847407452621"/>
      <name val="Impact"/>
      <family val="2"/>
    </font>
    <font>
      <sz val="11"/>
      <color theme="1"/>
      <name val="Calibri"/>
      <family val="2"/>
      <scheme val="minor"/>
    </font>
    <font>
      <sz val="10"/>
      <color rgb="FF000000"/>
      <name val="Tahoma"/>
      <family val="2"/>
    </font>
    <font>
      <b/>
      <sz val="10"/>
      <color rgb="FF000000"/>
      <name val="Tahoma"/>
      <family val="2"/>
    </font>
    <font>
      <sz val="10"/>
      <name val="Arial Narrow"/>
      <family val="2"/>
    </font>
    <font>
      <sz val="10"/>
      <color rgb="FFFF0000"/>
      <name val="Arial"/>
      <family val="2"/>
    </font>
    <font>
      <sz val="12"/>
      <name val="Arial Narrow"/>
      <family val="2"/>
    </font>
  </fonts>
  <fills count="3">
    <fill>
      <patternFill patternType="none"/>
    </fill>
    <fill>
      <patternFill patternType="gray125"/>
    </fill>
    <fill>
      <patternFill patternType="solid">
        <fgColor indexed="22"/>
        <bgColor indexed="64"/>
      </patternFill>
    </fill>
  </fills>
  <borders count="29">
    <border>
      <left/>
      <right/>
      <top/>
      <bottom/>
      <diagonal/>
    </border>
    <border>
      <left style="medium">
        <color auto="1"/>
      </left>
      <right style="medium">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bottom style="thin">
        <color auto="1"/>
      </bottom>
      <diagonal/>
    </border>
    <border>
      <left/>
      <right style="medium">
        <color auto="1"/>
      </right>
      <top/>
      <bottom style="thin">
        <color auto="1"/>
      </bottom>
      <diagonal/>
    </border>
    <border>
      <left/>
      <right/>
      <top style="medium">
        <color auto="1"/>
      </top>
      <bottom style="medium">
        <color auto="1"/>
      </bottom>
      <diagonal/>
    </border>
    <border>
      <left style="medium">
        <color auto="1"/>
      </left>
      <right/>
      <top/>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bottom style="thin">
        <color auto="1"/>
      </bottom>
      <diagonal/>
    </border>
    <border>
      <left/>
      <right style="thin">
        <color auto="1"/>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right style="medium">
        <color auto="1"/>
      </right>
      <top/>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medium">
        <color auto="1"/>
      </left>
      <right style="medium">
        <color auto="1"/>
      </right>
      <top style="medium">
        <color auto="1"/>
      </top>
      <bottom/>
      <diagonal/>
    </border>
  </borders>
  <cellStyleXfs count="342">
    <xf numFmtId="0" fontId="0"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5" fillId="0" borderId="0"/>
    <xf numFmtId="0" fontId="4" fillId="0" borderId="0"/>
    <xf numFmtId="0" fontId="5" fillId="0" borderId="0"/>
    <xf numFmtId="0" fontId="3" fillId="0" borderId="0"/>
    <xf numFmtId="0" fontId="2" fillId="0" borderId="0"/>
    <xf numFmtId="0" fontId="1"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cellStyleXfs>
  <cellXfs count="152">
    <xf numFmtId="0" fontId="0" fillId="0" borderId="0" xfId="0"/>
    <xf numFmtId="0" fontId="0" fillId="0" borderId="16" xfId="0" applyBorder="1"/>
    <xf numFmtId="0" fontId="0" fillId="0" borderId="0" xfId="0" applyAlignment="1">
      <alignment horizontal="right"/>
    </xf>
    <xf numFmtId="0" fontId="0" fillId="0" borderId="0" xfId="0" applyProtection="1">
      <protection hidden="1"/>
    </xf>
    <xf numFmtId="164" fontId="0" fillId="0" borderId="0" xfId="0" applyNumberFormat="1" applyBorder="1"/>
    <xf numFmtId="164" fontId="0" fillId="0" borderId="0" xfId="0" applyNumberFormat="1" applyBorder="1" applyAlignment="1">
      <alignment horizontal="center" vertical="center" wrapText="1"/>
    </xf>
    <xf numFmtId="0" fontId="0" fillId="2" borderId="11" xfId="0" applyFill="1" applyBorder="1"/>
    <xf numFmtId="0" fontId="0" fillId="2" borderId="12" xfId="0" applyFill="1" applyBorder="1"/>
    <xf numFmtId="0" fontId="0" fillId="2" borderId="10" xfId="0" applyFill="1" applyBorder="1"/>
    <xf numFmtId="0" fontId="7" fillId="2" borderId="15" xfId="0" applyFont="1" applyFill="1" applyBorder="1" applyAlignment="1">
      <alignment horizontal="center"/>
    </xf>
    <xf numFmtId="0" fontId="7" fillId="0" borderId="16" xfId="0" applyFont="1" applyBorder="1" applyAlignment="1">
      <alignment horizontal="center" wrapText="1"/>
    </xf>
    <xf numFmtId="0" fontId="7" fillId="0" borderId="7" xfId="0" applyFont="1" applyBorder="1"/>
    <xf numFmtId="0" fontId="0" fillId="2" borderId="7" xfId="0" applyFill="1" applyBorder="1" applyAlignment="1">
      <alignment horizontal="right"/>
    </xf>
    <xf numFmtId="0" fontId="0" fillId="2" borderId="1" xfId="0" applyFill="1" applyBorder="1" applyAlignment="1">
      <alignment horizontal="right"/>
    </xf>
    <xf numFmtId="0" fontId="0" fillId="2" borderId="3" xfId="0" applyFill="1" applyBorder="1" applyAlignment="1">
      <alignment horizontal="right"/>
    </xf>
    <xf numFmtId="0" fontId="0" fillId="2" borderId="4" xfId="0" applyFill="1" applyBorder="1"/>
    <xf numFmtId="0" fontId="0" fillId="0" borderId="0" xfId="0" applyAlignment="1">
      <alignment vertical="top" textRotation="90"/>
    </xf>
    <xf numFmtId="0" fontId="10" fillId="0" borderId="0" xfId="0" applyFont="1"/>
    <xf numFmtId="0" fontId="0" fillId="0" borderId="18" xfId="0" applyBorder="1"/>
    <xf numFmtId="0" fontId="0" fillId="0" borderId="19" xfId="0" applyBorder="1"/>
    <xf numFmtId="0" fontId="0" fillId="0" borderId="6" xfId="0" applyBorder="1"/>
    <xf numFmtId="0" fontId="10" fillId="0" borderId="18" xfId="0" applyFont="1" applyBorder="1" applyProtection="1">
      <protection locked="0"/>
    </xf>
    <xf numFmtId="0" fontId="0" fillId="0" borderId="18" xfId="0" applyBorder="1" applyProtection="1">
      <protection locked="0"/>
    </xf>
    <xf numFmtId="0" fontId="10" fillId="0" borderId="18" xfId="0" applyFont="1" applyBorder="1" applyProtection="1"/>
    <xf numFmtId="0" fontId="10" fillId="0" borderId="0" xfId="0" applyFont="1" applyProtection="1"/>
    <xf numFmtId="0" fontId="0" fillId="0" borderId="0" xfId="0" applyProtection="1"/>
    <xf numFmtId="0" fontId="0" fillId="0" borderId="18" xfId="0" applyBorder="1" applyProtection="1"/>
    <xf numFmtId="0" fontId="0" fillId="0" borderId="20" xfId="0" applyBorder="1" applyProtection="1"/>
    <xf numFmtId="0" fontId="0" fillId="0" borderId="21" xfId="0" applyBorder="1" applyProtection="1"/>
    <xf numFmtId="0" fontId="0" fillId="0" borderId="0" xfId="0" applyBorder="1" applyProtection="1"/>
    <xf numFmtId="0" fontId="0" fillId="0" borderId="17" xfId="0" applyBorder="1" applyProtection="1"/>
    <xf numFmtId="0" fontId="0" fillId="0" borderId="8" xfId="0" applyBorder="1" applyProtection="1"/>
    <xf numFmtId="0" fontId="0" fillId="0" borderId="0" xfId="0" applyBorder="1" applyAlignment="1" applyProtection="1">
      <alignment horizontal="centerContinuous"/>
      <protection hidden="1"/>
    </xf>
    <xf numFmtId="0" fontId="0" fillId="0" borderId="0" xfId="0" applyBorder="1" applyAlignment="1">
      <alignment horizontal="centerContinuous"/>
    </xf>
    <xf numFmtId="167" fontId="0" fillId="0" borderId="13" xfId="0" applyNumberFormat="1" applyBorder="1" applyProtection="1">
      <protection locked="0"/>
    </xf>
    <xf numFmtId="0" fontId="0" fillId="0" borderId="0" xfId="0" applyBorder="1" applyAlignment="1">
      <alignment horizontal="center"/>
    </xf>
    <xf numFmtId="0" fontId="0" fillId="0" borderId="0" xfId="0" applyBorder="1"/>
    <xf numFmtId="0" fontId="8" fillId="0" borderId="18" xfId="0" applyFont="1" applyBorder="1" applyProtection="1"/>
    <xf numFmtId="0" fontId="12" fillId="0" borderId="18" xfId="0" applyFont="1" applyBorder="1" applyProtection="1"/>
    <xf numFmtId="167" fontId="13" fillId="0" borderId="16" xfId="0" applyNumberFormat="1" applyFont="1" applyBorder="1" applyAlignment="1">
      <alignment horizontal="center" wrapText="1"/>
    </xf>
    <xf numFmtId="166" fontId="13" fillId="0" borderId="16" xfId="0" applyNumberFormat="1" applyFont="1" applyBorder="1" applyAlignment="1">
      <alignment horizontal="center" vertical="center" wrapText="1"/>
    </xf>
    <xf numFmtId="0" fontId="14" fillId="0" borderId="16" xfId="0" applyFont="1" applyBorder="1" applyAlignment="1">
      <alignment horizontal="center" vertical="center" wrapText="1"/>
    </xf>
    <xf numFmtId="167" fontId="13" fillId="0" borderId="7" xfId="0" applyNumberFormat="1" applyFont="1" applyBorder="1"/>
    <xf numFmtId="165" fontId="13" fillId="0" borderId="7" xfId="0" applyNumberFormat="1" applyFont="1" applyBorder="1" applyAlignment="1">
      <alignment horizontal="center" vertical="center" wrapText="1"/>
    </xf>
    <xf numFmtId="0" fontId="13" fillId="0" borderId="18" xfId="0" applyFont="1" applyBorder="1" applyAlignment="1">
      <alignment horizontal="center" vertical="center"/>
    </xf>
    <xf numFmtId="0" fontId="14" fillId="0" borderId="7" xfId="0" applyFont="1" applyBorder="1" applyAlignment="1">
      <alignment horizontal="center" vertical="center" wrapText="1"/>
    </xf>
    <xf numFmtId="0" fontId="13" fillId="0" borderId="16" xfId="0" applyFont="1" applyBorder="1" applyAlignment="1">
      <alignment horizontal="center" vertical="center"/>
    </xf>
    <xf numFmtId="167" fontId="15" fillId="0" borderId="16" xfId="0" applyNumberFormat="1" applyFont="1" applyBorder="1" applyAlignment="1">
      <alignment horizontal="center" vertical="center"/>
    </xf>
    <xf numFmtId="18" fontId="15" fillId="0" borderId="16" xfId="0" applyNumberFormat="1" applyFont="1" applyBorder="1" applyAlignment="1">
      <alignment horizontal="center" vertical="center" wrapText="1"/>
    </xf>
    <xf numFmtId="0" fontId="15" fillId="0" borderId="16" xfId="0" applyFont="1" applyBorder="1" applyAlignment="1">
      <alignment horizontal="center" vertical="center" wrapText="1"/>
    </xf>
    <xf numFmtId="167" fontId="12" fillId="0" borderId="0" xfId="0" applyNumberFormat="1" applyFont="1" applyAlignment="1">
      <alignment vertical="top"/>
    </xf>
    <xf numFmtId="0" fontId="9" fillId="0" borderId="0" xfId="0" applyFont="1" applyAlignment="1">
      <alignment horizontal="left" vertical="center"/>
    </xf>
    <xf numFmtId="0" fontId="10" fillId="0" borderId="0" xfId="0" applyFont="1" applyAlignment="1">
      <alignment horizontal="left" vertical="center" wrapText="1"/>
    </xf>
    <xf numFmtId="0" fontId="11" fillId="0" borderId="0" xfId="0" applyFont="1" applyAlignment="1">
      <alignment horizontal="center" vertical="justify"/>
    </xf>
    <xf numFmtId="0" fontId="10" fillId="0" borderId="0" xfId="0" applyFont="1" applyBorder="1" applyAlignment="1" applyProtection="1">
      <alignment horizontal="right"/>
    </xf>
    <xf numFmtId="0" fontId="0" fillId="2" borderId="25" xfId="0" applyFill="1" applyBorder="1" applyAlignment="1">
      <alignment horizontal="right"/>
    </xf>
    <xf numFmtId="0" fontId="10" fillId="0" borderId="5" xfId="0" applyFont="1" applyBorder="1" applyProtection="1"/>
    <xf numFmtId="0" fontId="10" fillId="0" borderId="0" xfId="0" applyFont="1" applyBorder="1" applyAlignment="1" applyProtection="1">
      <alignment horizontal="left"/>
    </xf>
    <xf numFmtId="0" fontId="10" fillId="0" borderId="0" xfId="0" applyFont="1" applyAlignment="1" applyProtection="1"/>
    <xf numFmtId="0" fontId="5" fillId="2" borderId="3" xfId="0" applyFont="1" applyFill="1" applyBorder="1" applyAlignment="1">
      <alignment horizontal="right"/>
    </xf>
    <xf numFmtId="168" fontId="10" fillId="0" borderId="0" xfId="0" applyNumberFormat="1" applyFont="1" applyBorder="1" applyAlignment="1">
      <alignment horizontal="center"/>
    </xf>
    <xf numFmtId="0" fontId="10" fillId="0" borderId="0" xfId="0" quotePrefix="1" applyFont="1" applyAlignment="1">
      <alignment horizontal="right" vertical="center"/>
    </xf>
    <xf numFmtId="0" fontId="10" fillId="0" borderId="0" xfId="0" applyFont="1" applyAlignment="1">
      <alignment vertical="center"/>
    </xf>
    <xf numFmtId="167" fontId="0" fillId="0" borderId="26" xfId="0" applyNumberFormat="1" applyBorder="1" applyProtection="1">
      <protection locked="0"/>
    </xf>
    <xf numFmtId="0" fontId="24" fillId="0" borderId="18" xfId="0" applyFont="1" applyBorder="1" applyProtection="1"/>
    <xf numFmtId="0" fontId="10" fillId="0" borderId="22" xfId="0" applyFont="1" applyBorder="1"/>
    <xf numFmtId="0" fontId="6" fillId="0" borderId="0" xfId="0" applyFont="1" applyBorder="1" applyAlignment="1" applyProtection="1">
      <alignment wrapText="1"/>
    </xf>
    <xf numFmtId="0" fontId="10" fillId="0" borderId="0" xfId="0" applyFont="1" applyBorder="1"/>
    <xf numFmtId="0" fontId="10" fillId="0" borderId="0" xfId="0" applyFont="1" applyBorder="1" applyProtection="1"/>
    <xf numFmtId="168" fontId="10" fillId="0" borderId="0" xfId="0" applyNumberFormat="1" applyFont="1" applyBorder="1" applyAlignment="1">
      <alignment horizontal="center"/>
    </xf>
    <xf numFmtId="0" fontId="10" fillId="0" borderId="0" xfId="0" applyFont="1" applyAlignment="1">
      <alignment horizontal="center"/>
    </xf>
    <xf numFmtId="0" fontId="10" fillId="0" borderId="0" xfId="0" applyFont="1" applyBorder="1" applyAlignment="1">
      <alignment horizontal="center"/>
    </xf>
    <xf numFmtId="0" fontId="7" fillId="0" borderId="18" xfId="0" applyFont="1" applyFill="1" applyBorder="1" applyAlignment="1">
      <alignment horizontal="center" wrapText="1"/>
    </xf>
    <xf numFmtId="169" fontId="7" fillId="0" borderId="18" xfId="0" applyNumberFormat="1" applyFont="1" applyFill="1" applyBorder="1" applyAlignment="1">
      <alignment horizontal="left" wrapText="1"/>
    </xf>
    <xf numFmtId="168" fontId="10" fillId="0" borderId="18" xfId="0" applyNumberFormat="1" applyFont="1" applyBorder="1" applyAlignment="1">
      <alignment horizontal="center"/>
    </xf>
    <xf numFmtId="18" fontId="23" fillId="0" borderId="0" xfId="0" applyNumberFormat="1" applyFont="1" applyBorder="1" applyAlignment="1">
      <alignment horizontal="center" wrapText="1"/>
    </xf>
    <xf numFmtId="0" fontId="0" fillId="0" borderId="18" xfId="0" applyBorder="1" applyAlignment="1" applyProtection="1">
      <alignment horizontal="left"/>
    </xf>
    <xf numFmtId="169" fontId="12" fillId="0" borderId="18" xfId="0" applyNumberFormat="1" applyFont="1" applyBorder="1" applyAlignment="1" applyProtection="1">
      <alignment horizontal="center"/>
    </xf>
    <xf numFmtId="169" fontId="10" fillId="0" borderId="18" xfId="0" applyNumberFormat="1" applyFont="1" applyBorder="1" applyAlignment="1" applyProtection="1">
      <alignment horizontal="center"/>
    </xf>
    <xf numFmtId="0" fontId="10" fillId="0" borderId="0" xfId="0" applyNumberFormat="1" applyFont="1" applyBorder="1" applyAlignment="1" applyProtection="1">
      <alignment horizontal="left" vertical="center"/>
    </xf>
    <xf numFmtId="169" fontId="10" fillId="0" borderId="0" xfId="0" applyNumberFormat="1" applyFont="1" applyBorder="1" applyAlignment="1" applyProtection="1">
      <alignment horizontal="left" vertical="center"/>
    </xf>
    <xf numFmtId="0" fontId="28" fillId="2" borderId="12" xfId="0" applyFont="1" applyFill="1" applyBorder="1"/>
    <xf numFmtId="0" fontId="28" fillId="2" borderId="10" xfId="0" applyFont="1" applyFill="1" applyBorder="1"/>
    <xf numFmtId="167" fontId="0" fillId="0" borderId="22" xfId="0" applyNumberFormat="1" applyBorder="1" applyProtection="1">
      <protection locked="0"/>
    </xf>
    <xf numFmtId="0" fontId="13" fillId="0" borderId="18" xfId="0" applyFont="1" applyBorder="1" applyProtection="1">
      <protection locked="0"/>
    </xf>
    <xf numFmtId="49" fontId="13" fillId="0" borderId="18" xfId="0" applyNumberFormat="1" applyFont="1" applyBorder="1" applyAlignment="1" applyProtection="1">
      <alignment horizontal="center"/>
      <protection locked="0"/>
    </xf>
    <xf numFmtId="49" fontId="13" fillId="0" borderId="8" xfId="0" applyNumberFormat="1" applyFont="1" applyBorder="1" applyAlignment="1" applyProtection="1">
      <alignment horizontal="center"/>
      <protection locked="0"/>
    </xf>
    <xf numFmtId="0" fontId="13" fillId="0" borderId="2" xfId="0" applyFont="1" applyBorder="1" applyProtection="1">
      <protection locked="0"/>
    </xf>
    <xf numFmtId="0" fontId="13" fillId="0" borderId="5" xfId="0" applyFont="1" applyBorder="1" applyAlignment="1"/>
    <xf numFmtId="0" fontId="13" fillId="0" borderId="10" xfId="0" applyFont="1" applyBorder="1" applyAlignment="1"/>
    <xf numFmtId="0" fontId="29" fillId="0" borderId="0" xfId="0" applyFont="1"/>
    <xf numFmtId="0" fontId="0" fillId="0" borderId="0" xfId="0" applyFont="1"/>
    <xf numFmtId="0" fontId="7" fillId="2" borderId="15" xfId="0" applyFont="1" applyFill="1" applyBorder="1" applyAlignment="1">
      <alignment horizontal="center" vertical="center" wrapText="1"/>
    </xf>
    <xf numFmtId="0" fontId="5" fillId="0" borderId="14" xfId="0" applyFont="1" applyBorder="1" applyProtection="1">
      <protection locked="0"/>
    </xf>
    <xf numFmtId="49" fontId="5" fillId="0" borderId="14" xfId="0" applyNumberFormat="1" applyFont="1" applyBorder="1" applyAlignment="1" applyProtection="1">
      <alignment horizontal="center"/>
      <protection locked="0"/>
    </xf>
    <xf numFmtId="49" fontId="5" fillId="0" borderId="4" xfId="0" applyNumberFormat="1" applyFont="1" applyBorder="1" applyAlignment="1" applyProtection="1">
      <alignment horizontal="center"/>
      <protection locked="0"/>
    </xf>
    <xf numFmtId="0" fontId="14" fillId="0" borderId="7" xfId="0" applyFont="1" applyBorder="1" applyAlignment="1">
      <alignment horizontal="center" wrapText="1"/>
    </xf>
    <xf numFmtId="15" fontId="30" fillId="0" borderId="4" xfId="0" applyNumberFormat="1" applyFont="1" applyBorder="1" applyProtection="1">
      <protection locked="0"/>
    </xf>
    <xf numFmtId="1" fontId="30" fillId="0" borderId="4" xfId="0" applyNumberFormat="1" applyFont="1" applyBorder="1" applyProtection="1">
      <protection locked="0"/>
    </xf>
    <xf numFmtId="0" fontId="30" fillId="0" borderId="9" xfId="0" applyFont="1" applyBorder="1" applyAlignment="1"/>
    <xf numFmtId="15" fontId="30" fillId="0" borderId="23" xfId="0" applyNumberFormat="1" applyFont="1" applyBorder="1" applyProtection="1">
      <protection locked="0"/>
    </xf>
    <xf numFmtId="49" fontId="30" fillId="0" borderId="14" xfId="0" applyNumberFormat="1" applyFont="1" applyBorder="1" applyAlignment="1" applyProtection="1">
      <alignment horizontal="center"/>
      <protection locked="0"/>
    </xf>
    <xf numFmtId="49" fontId="30" fillId="0" borderId="4" xfId="0" applyNumberFormat="1" applyFont="1" applyBorder="1" applyAlignment="1" applyProtection="1">
      <alignment horizontal="center"/>
      <protection locked="0"/>
    </xf>
    <xf numFmtId="0" fontId="28" fillId="0" borderId="27" xfId="0" applyFont="1" applyBorder="1" applyProtection="1">
      <protection locked="0"/>
    </xf>
    <xf numFmtId="49" fontId="28" fillId="0" borderId="27" xfId="0" applyNumberFormat="1" applyFont="1" applyBorder="1" applyAlignment="1" applyProtection="1">
      <alignment horizontal="center"/>
      <protection locked="0"/>
    </xf>
    <xf numFmtId="49" fontId="28" fillId="0" borderId="24" xfId="0" applyNumberFormat="1" applyFont="1" applyBorder="1" applyAlignment="1" applyProtection="1">
      <alignment horizontal="center"/>
      <protection locked="0"/>
    </xf>
    <xf numFmtId="18" fontId="30" fillId="0" borderId="8" xfId="0" applyNumberFormat="1" applyFont="1" applyBorder="1" applyProtection="1">
      <protection locked="0"/>
    </xf>
    <xf numFmtId="49" fontId="5" fillId="0" borderId="14" xfId="0" applyNumberFormat="1" applyFont="1" applyBorder="1" applyAlignment="1" applyProtection="1">
      <alignment horizontal="center" wrapText="1"/>
      <protection locked="0"/>
    </xf>
    <xf numFmtId="0" fontId="5" fillId="0" borderId="27" xfId="0" applyFont="1" applyBorder="1" applyProtection="1">
      <protection locked="0"/>
    </xf>
    <xf numFmtId="49" fontId="5" fillId="0" borderId="27" xfId="0" applyNumberFormat="1" applyFont="1" applyBorder="1" applyAlignment="1" applyProtection="1">
      <alignment horizontal="center"/>
      <protection locked="0"/>
    </xf>
    <xf numFmtId="49" fontId="5" fillId="0" borderId="24" xfId="0" applyNumberFormat="1" applyFont="1" applyBorder="1" applyAlignment="1" applyProtection="1">
      <alignment horizontal="center"/>
      <protection locked="0"/>
    </xf>
    <xf numFmtId="0" fontId="15" fillId="0" borderId="7" xfId="0" applyFont="1" applyBorder="1" applyAlignment="1">
      <alignment horizontal="center" vertical="center" wrapText="1"/>
    </xf>
    <xf numFmtId="0" fontId="15" fillId="0" borderId="28" xfId="0" applyFont="1" applyBorder="1" applyAlignment="1">
      <alignment horizontal="center" vertical="center" wrapText="1"/>
    </xf>
    <xf numFmtId="0" fontId="0" fillId="0" borderId="16" xfId="0" applyBorder="1" applyAlignment="1">
      <alignment horizontal="center" vertical="center"/>
    </xf>
    <xf numFmtId="0" fontId="0" fillId="0" borderId="7" xfId="0" applyBorder="1" applyAlignment="1">
      <alignment horizontal="center" vertical="center"/>
    </xf>
    <xf numFmtId="0" fontId="15" fillId="0" borderId="16" xfId="0" applyFont="1" applyBorder="1" applyAlignment="1">
      <alignment horizontal="center" vertical="center" wrapText="1"/>
    </xf>
    <xf numFmtId="167" fontId="5" fillId="0" borderId="13" xfId="0" applyNumberFormat="1" applyFont="1" applyBorder="1" applyProtection="1">
      <protection locked="0"/>
    </xf>
    <xf numFmtId="0" fontId="29" fillId="0" borderId="0" xfId="0" applyFont="1" applyAlignment="1">
      <alignment horizontal="right"/>
    </xf>
    <xf numFmtId="0" fontId="0" fillId="2" borderId="9" xfId="0" applyFill="1" applyBorder="1" applyAlignment="1">
      <alignment horizontal="center"/>
    </xf>
    <xf numFmtId="0" fontId="0" fillId="2" borderId="5" xfId="0" applyFill="1" applyBorder="1" applyAlignment="1">
      <alignment horizontal="center"/>
    </xf>
    <xf numFmtId="0" fontId="0" fillId="2" borderId="10" xfId="0" applyFill="1" applyBorder="1" applyAlignment="1">
      <alignment horizontal="center"/>
    </xf>
    <xf numFmtId="0" fontId="10" fillId="0" borderId="0" xfId="0" applyFont="1" applyAlignment="1" applyProtection="1">
      <alignment horizontal="right" vertical="center"/>
    </xf>
    <xf numFmtId="0" fontId="10" fillId="0" borderId="0" xfId="0" applyFont="1" applyAlignment="1">
      <alignment horizontal="center" vertical="center" wrapText="1"/>
    </xf>
    <xf numFmtId="0" fontId="10" fillId="0" borderId="0" xfId="0" applyFont="1" applyAlignment="1">
      <alignment horizontal="center" vertical="center"/>
    </xf>
    <xf numFmtId="0" fontId="19" fillId="0" borderId="0" xfId="0" applyFont="1" applyAlignment="1">
      <alignment horizontal="center"/>
    </xf>
    <xf numFmtId="0" fontId="10" fillId="0" borderId="18" xfId="0" applyFont="1" applyBorder="1"/>
    <xf numFmtId="0" fontId="10" fillId="0" borderId="18" xfId="0" applyFont="1" applyBorder="1" applyAlignment="1" applyProtection="1">
      <alignment horizontal="left"/>
    </xf>
    <xf numFmtId="18" fontId="23" fillId="0" borderId="18" xfId="0" applyNumberFormat="1" applyFont="1" applyBorder="1" applyAlignment="1">
      <alignment horizontal="center" wrapText="1"/>
    </xf>
    <xf numFmtId="0" fontId="19" fillId="0" borderId="0" xfId="0" applyFont="1" applyAlignment="1">
      <alignment horizontal="center" vertical="top"/>
    </xf>
    <xf numFmtId="0" fontId="21" fillId="0" borderId="18" xfId="0" applyFont="1" applyBorder="1" applyAlignment="1">
      <alignment horizontal="center" vertical="center"/>
    </xf>
    <xf numFmtId="167" fontId="12" fillId="0" borderId="20" xfId="0" applyNumberFormat="1" applyFont="1" applyBorder="1" applyAlignment="1">
      <alignment horizontal="center" vertical="center"/>
    </xf>
    <xf numFmtId="0" fontId="10" fillId="0" borderId="0" xfId="0" applyFont="1" applyAlignment="1">
      <alignment horizontal="right" vertical="center"/>
    </xf>
    <xf numFmtId="0" fontId="15" fillId="0" borderId="28" xfId="0" applyFont="1" applyBorder="1" applyAlignment="1">
      <alignment horizontal="center" vertical="center" wrapText="1"/>
    </xf>
    <xf numFmtId="0" fontId="0" fillId="0" borderId="16" xfId="0" applyBorder="1" applyAlignment="1">
      <alignment horizontal="center" vertical="center"/>
    </xf>
    <xf numFmtId="0" fontId="0" fillId="0" borderId="7" xfId="0" applyBorder="1" applyAlignment="1">
      <alignment horizontal="center" vertical="center"/>
    </xf>
    <xf numFmtId="0" fontId="15" fillId="0" borderId="16" xfId="0" applyFont="1" applyBorder="1" applyAlignment="1">
      <alignment horizontal="center" vertical="center" wrapText="1"/>
    </xf>
    <xf numFmtId="0" fontId="10" fillId="0" borderId="7" xfId="0" applyFont="1" applyBorder="1" applyAlignment="1">
      <alignment horizontal="center" vertical="center" wrapText="1"/>
    </xf>
    <xf numFmtId="0" fontId="0" fillId="0" borderId="16" xfId="0" applyBorder="1" applyAlignment="1">
      <alignment horizontal="center" vertical="center" wrapText="1"/>
    </xf>
    <xf numFmtId="0" fontId="9" fillId="0" borderId="0" xfId="0" applyFont="1" applyAlignment="1">
      <alignment horizontal="center"/>
    </xf>
    <xf numFmtId="0" fontId="0" fillId="0" borderId="0" xfId="0" applyAlignment="1"/>
    <xf numFmtId="168" fontId="10" fillId="0" borderId="0" xfId="0" applyNumberFormat="1" applyFont="1" applyBorder="1" applyAlignment="1">
      <alignment horizontal="left" vertical="center"/>
    </xf>
    <xf numFmtId="0" fontId="15" fillId="0" borderId="28" xfId="0" applyFont="1" applyBorder="1" applyAlignment="1">
      <alignment horizontal="center" vertical="top" wrapText="1"/>
    </xf>
    <xf numFmtId="0" fontId="0" fillId="0" borderId="16" xfId="0" applyBorder="1" applyAlignment="1">
      <alignment horizontal="center" vertical="top" wrapText="1"/>
    </xf>
    <xf numFmtId="0" fontId="0" fillId="0" borderId="0" xfId="0" applyAlignment="1">
      <alignment horizontal="left" vertical="top"/>
    </xf>
    <xf numFmtId="0" fontId="0" fillId="0" borderId="7" xfId="0" applyBorder="1" applyAlignment="1">
      <alignment horizontal="center" vertical="center" wrapText="1"/>
    </xf>
    <xf numFmtId="0" fontId="6" fillId="0" borderId="0" xfId="0" applyFont="1" applyBorder="1" applyAlignment="1" applyProtection="1">
      <alignment horizontal="center" wrapText="1"/>
    </xf>
    <xf numFmtId="0" fontId="6" fillId="0" borderId="0" xfId="0" applyFont="1" applyBorder="1" applyAlignment="1" applyProtection="1">
      <alignment horizontal="center" vertical="top" wrapText="1"/>
    </xf>
    <xf numFmtId="0" fontId="6" fillId="0" borderId="20" xfId="0" applyFont="1" applyBorder="1" applyAlignment="1">
      <alignment horizontal="center" vertical="top"/>
    </xf>
    <xf numFmtId="0" fontId="10" fillId="0" borderId="18" xfId="0" applyFont="1" applyBorder="1" applyAlignment="1">
      <alignment horizontal="center"/>
    </xf>
    <xf numFmtId="0" fontId="15" fillId="0" borderId="7" xfId="0" applyFont="1" applyBorder="1" applyAlignment="1">
      <alignment horizontal="center" vertical="center" wrapText="1"/>
    </xf>
    <xf numFmtId="0" fontId="10" fillId="0" borderId="0" xfId="0" applyFont="1" applyAlignment="1">
      <alignment horizontal="center"/>
    </xf>
    <xf numFmtId="0" fontId="0" fillId="0" borderId="18" xfId="0" applyBorder="1" applyAlignment="1">
      <alignment horizontal="center"/>
    </xf>
  </cellXfs>
  <cellStyles count="342">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Normal" xfId="0" builtinId="0"/>
    <cellStyle name="Normal 2" xfId="282"/>
    <cellStyle name="Normal 3" xfId="283"/>
    <cellStyle name="Normal 3 2" xfId="285"/>
    <cellStyle name="Normal 3 2 2" xfId="286"/>
    <cellStyle name="Normal 3 2 3" xfId="287"/>
    <cellStyle name="Normal 4" xfId="284"/>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660400</xdr:colOff>
      <xdr:row>1</xdr:row>
      <xdr:rowOff>224693</xdr:rowOff>
    </xdr:from>
    <xdr:to>
      <xdr:col>11</xdr:col>
      <xdr:colOff>406401</xdr:colOff>
      <xdr:row>4</xdr:row>
      <xdr:rowOff>455819</xdr:rowOff>
    </xdr:to>
    <xdr:pic>
      <xdr:nvPicPr>
        <xdr:cNvPr id="4" name="Picture 3">
          <a:extLst>
            <a:ext uri="{FF2B5EF4-FFF2-40B4-BE49-F238E27FC236}">
              <a16:creationId xmlns:a16="http://schemas.microsoft.com/office/drawing/2014/main" xmlns="" id="{00000000-0008-0000-0100-000004000000}"/>
            </a:ext>
          </a:extLst>
        </xdr:cNvPr>
        <xdr:cNvPicPr>
          <a:picLocks noChangeAspect="1"/>
        </xdr:cNvPicPr>
      </xdr:nvPicPr>
      <xdr:blipFill>
        <a:blip xmlns:r="http://schemas.openxmlformats.org/officeDocument/2006/relationships" r:embed="rId1"/>
        <a:stretch>
          <a:fillRect/>
        </a:stretch>
      </xdr:blipFill>
      <xdr:spPr>
        <a:xfrm>
          <a:off x="11113477" y="485206"/>
          <a:ext cx="1992923" cy="156660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660400</xdr:colOff>
      <xdr:row>1</xdr:row>
      <xdr:rowOff>224693</xdr:rowOff>
    </xdr:from>
    <xdr:to>
      <xdr:col>11</xdr:col>
      <xdr:colOff>406400</xdr:colOff>
      <xdr:row>4</xdr:row>
      <xdr:rowOff>397841</xdr:rowOff>
    </xdr:to>
    <xdr:pic>
      <xdr:nvPicPr>
        <xdr:cNvPr id="2" name="Picture 1">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a:stretch>
          <a:fillRect/>
        </a:stretch>
      </xdr:blipFill>
      <xdr:spPr>
        <a:xfrm>
          <a:off x="11099800" y="465993"/>
          <a:ext cx="2006600" cy="156628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32"/>
  <sheetViews>
    <sheetView showGridLines="0" zoomScale="135" zoomScaleNormal="135" zoomScalePageLayoutView="135" workbookViewId="0">
      <selection activeCell="E17" sqref="E17"/>
    </sheetView>
  </sheetViews>
  <sheetFormatPr defaultColWidth="8.85546875" defaultRowHeight="12.75" x14ac:dyDescent="0.2"/>
  <cols>
    <col min="1" max="1" width="16.42578125" style="2" customWidth="1"/>
    <col min="2" max="2" width="15" bestFit="1" customWidth="1"/>
    <col min="3" max="3" width="0" style="3" hidden="1" customWidth="1"/>
    <col min="4" max="4" width="8.28515625" customWidth="1"/>
    <col min="5" max="5" width="17" bestFit="1" customWidth="1"/>
    <col min="6" max="6" width="18" bestFit="1" customWidth="1"/>
    <col min="7" max="7" width="22.140625" bestFit="1" customWidth="1"/>
    <col min="8" max="8" width="25.140625" bestFit="1" customWidth="1"/>
    <col min="9" max="11" width="31.140625" customWidth="1"/>
    <col min="12" max="12" width="17.28515625" hidden="1" customWidth="1"/>
    <col min="13" max="15" width="17.85546875" hidden="1" customWidth="1"/>
  </cols>
  <sheetData>
    <row r="1" spans="1:23" ht="18" x14ac:dyDescent="0.25">
      <c r="A1" s="13" t="s">
        <v>18</v>
      </c>
      <c r="B1" s="87">
        <v>600</v>
      </c>
      <c r="C1">
        <f>IF(Brevet_Length&gt;=1200,Brevet_Length,IF(Brevet_Length&gt;=1000,1000,IF(Brevet_Length&gt;=600,600,IF(Brevet_Length&gt;=400,400,IF(Brevet_Length&gt;=300,300,IF(Brevet_Length&gt;=200,200,100))))))</f>
        <v>600</v>
      </c>
      <c r="J1" s="117" t="s">
        <v>67</v>
      </c>
      <c r="K1" s="117"/>
      <c r="Q1" s="90" t="s">
        <v>68</v>
      </c>
      <c r="R1" s="90"/>
      <c r="S1" s="90"/>
      <c r="T1" s="90"/>
      <c r="U1" s="90"/>
      <c r="V1" s="90"/>
      <c r="W1" s="90"/>
    </row>
    <row r="2" spans="1:23" ht="13.5" thickBot="1" x14ac:dyDescent="0.25">
      <c r="A2" s="14" t="s">
        <v>19</v>
      </c>
      <c r="B2" s="15">
        <f>IF(brevet=1200,90,IF(brevet=1000,75,IF(brevet=600,40,IF(brevet=400,27,IF(brevet=300,20,IF(brevet=200,13.5,IF(brevet=100,7,0)))))))</f>
        <v>40</v>
      </c>
      <c r="Q2" t="s">
        <v>69</v>
      </c>
    </row>
    <row r="3" spans="1:23" ht="18.75" thickBot="1" x14ac:dyDescent="0.3">
      <c r="A3" s="14" t="s">
        <v>20</v>
      </c>
      <c r="B3" s="99" t="s">
        <v>83</v>
      </c>
      <c r="C3" s="88"/>
      <c r="D3" s="88"/>
      <c r="E3" s="88"/>
      <c r="F3" s="88"/>
      <c r="G3" s="88"/>
      <c r="H3" s="89"/>
      <c r="I3" s="35"/>
      <c r="J3" s="35"/>
      <c r="K3" s="35"/>
      <c r="O3" s="36"/>
      <c r="P3" s="36"/>
      <c r="Q3" s="90" t="s">
        <v>70</v>
      </c>
    </row>
    <row r="4" spans="1:23" ht="15.75" x14ac:dyDescent="0.25">
      <c r="A4" s="14" t="s">
        <v>21</v>
      </c>
      <c r="B4" s="98">
        <v>5079</v>
      </c>
      <c r="C4" s="32"/>
      <c r="F4" s="33"/>
      <c r="G4" s="33"/>
      <c r="H4" s="33"/>
      <c r="I4" s="33"/>
      <c r="J4" s="33"/>
      <c r="K4" s="33"/>
      <c r="Q4" s="90" t="s">
        <v>71</v>
      </c>
    </row>
    <row r="5" spans="1:23" ht="15.75" x14ac:dyDescent="0.25">
      <c r="A5" s="59" t="s">
        <v>49</v>
      </c>
      <c r="B5" s="97">
        <v>44408</v>
      </c>
      <c r="Q5" s="90" t="s">
        <v>72</v>
      </c>
    </row>
    <row r="6" spans="1:23" ht="6" customHeight="1" x14ac:dyDescent="0.2"/>
    <row r="7" spans="1:23" ht="16.5" thickBot="1" x14ac:dyDescent="0.3">
      <c r="A7" s="55" t="s">
        <v>22</v>
      </c>
      <c r="B7" s="100">
        <v>44408</v>
      </c>
      <c r="Q7" s="90" t="s">
        <v>73</v>
      </c>
    </row>
    <row r="8" spans="1:23" ht="16.5" thickBot="1" x14ac:dyDescent="0.3">
      <c r="A8" s="12" t="s">
        <v>23</v>
      </c>
      <c r="B8" s="106">
        <v>0.25</v>
      </c>
      <c r="D8" s="118" t="s">
        <v>61</v>
      </c>
      <c r="E8" s="119"/>
      <c r="F8" s="119"/>
      <c r="G8" s="119"/>
      <c r="H8" s="119"/>
      <c r="I8" s="118" t="s">
        <v>78</v>
      </c>
      <c r="J8" s="119"/>
      <c r="K8" s="120"/>
      <c r="Q8" s="90" t="s">
        <v>74</v>
      </c>
    </row>
    <row r="9" spans="1:23" ht="13.5" thickBot="1" x14ac:dyDescent="0.25">
      <c r="D9" s="6" t="s">
        <v>24</v>
      </c>
      <c r="E9" s="7" t="s">
        <v>25</v>
      </c>
      <c r="F9" s="81" t="s">
        <v>26</v>
      </c>
      <c r="G9" s="81" t="s">
        <v>27</v>
      </c>
      <c r="H9" s="82" t="s">
        <v>28</v>
      </c>
      <c r="I9" s="7" t="s">
        <v>64</v>
      </c>
      <c r="J9" s="7" t="s">
        <v>65</v>
      </c>
      <c r="K9" s="8" t="s">
        <v>66</v>
      </c>
      <c r="L9" t="s">
        <v>3</v>
      </c>
      <c r="M9" t="s">
        <v>4</v>
      </c>
      <c r="N9" t="s">
        <v>5</v>
      </c>
      <c r="O9" t="s">
        <v>6</v>
      </c>
      <c r="Q9" s="90" t="s">
        <v>75</v>
      </c>
    </row>
    <row r="10" spans="1:23" ht="17.100000000000001" customHeight="1" x14ac:dyDescent="0.25">
      <c r="C10" s="3" t="s">
        <v>7</v>
      </c>
      <c r="D10" s="34">
        <v>0</v>
      </c>
      <c r="E10" s="93" t="s">
        <v>82</v>
      </c>
      <c r="F10" s="94" t="s">
        <v>99</v>
      </c>
      <c r="G10" s="94"/>
      <c r="H10" s="95" t="s">
        <v>129</v>
      </c>
      <c r="I10" s="101"/>
      <c r="J10" s="101"/>
      <c r="K10" s="102"/>
      <c r="L10" s="4">
        <f>Start_date+Start_time</f>
        <v>44408.25</v>
      </c>
      <c r="M10" s="4">
        <f>L10+"1:00"</f>
        <v>44408.291666666664</v>
      </c>
      <c r="N10" s="5">
        <f>IF(ISBLANK(Distance),"",Open Control_1)</f>
        <v>44408.25</v>
      </c>
      <c r="O10" s="5">
        <f>IF(ISBLANK(Distance),"",Close Control_1)</f>
        <v>44408.291666666664</v>
      </c>
      <c r="Q10" s="90" t="s">
        <v>76</v>
      </c>
    </row>
    <row r="11" spans="1:23" ht="17.100000000000001" customHeight="1" x14ac:dyDescent="0.25">
      <c r="C11" s="3" t="s">
        <v>8</v>
      </c>
      <c r="D11" s="34">
        <v>75.8</v>
      </c>
      <c r="E11" s="93" t="s">
        <v>84</v>
      </c>
      <c r="F11" s="94" t="s">
        <v>85</v>
      </c>
      <c r="G11" s="94" t="s">
        <v>86</v>
      </c>
      <c r="H11" s="95"/>
      <c r="I11" s="101"/>
      <c r="J11" s="101"/>
      <c r="K11" s="102"/>
      <c r="L11">
        <f>IF(ISBLANK(Distance),"",IF(Distance&gt;1000,(Distance-1000)/26+33.0847,(IF(Distance&gt;600,(Distance-600)/28+18.799,(IF(Distance&gt;400,(Distance-400)/30+12.1324,(IF(Distance&gt;200,(Distance-200)/32+5.8824,Distance/34))))))))</f>
        <v>2.2294117647058824</v>
      </c>
      <c r="M11">
        <f>IF(ISBLANK(Distance),"",IF(Distance&gt;=brevet,IF(brevet&gt;1200,(brevet-1200)*75/1000+90,Max_time),IF(Distance&gt;1200,(Distance-1200)*75/1000+90,IF(Distance&gt;1000,(Distance-1000)/(1000/75)+75,IF(Distance&gt;600,(Distance-600)/(400/35)+40,Distance/15)))))</f>
        <v>5.0533333333333328</v>
      </c>
      <c r="N11" s="5">
        <f>IF(ISBLANK(Distance),"",Open_time Control_1+(INT(Open)&amp;":"&amp;IF(ROUND(((Open-INT(Open))*60),0)&lt;10,0,"")&amp;ROUND(((Open-INT(Open))*60),0)))</f>
        <v>44408.343055555553</v>
      </c>
      <c r="O11" s="5">
        <f>IF(ISBLANK(Distance),"",Open_time Control_1+(INT(Close)&amp;":"&amp;IF(ROUND(((Close-INT(Close))*60),0)&lt;10,0,"")&amp;ROUND(((Close-INT(Close))*60),0)))</f>
        <v>44408.460416666669</v>
      </c>
      <c r="Q11" s="90" t="s">
        <v>77</v>
      </c>
    </row>
    <row r="12" spans="1:23" ht="17.100000000000001" customHeight="1" x14ac:dyDescent="0.25">
      <c r="C12" s="3" t="s">
        <v>9</v>
      </c>
      <c r="D12" s="34">
        <v>136.30000000000001</v>
      </c>
      <c r="E12" s="93" t="s">
        <v>127</v>
      </c>
      <c r="F12" s="94" t="s">
        <v>104</v>
      </c>
      <c r="G12" s="94" t="s">
        <v>105</v>
      </c>
      <c r="H12" s="95"/>
      <c r="I12" s="101"/>
      <c r="J12" s="101"/>
      <c r="K12" s="102"/>
      <c r="L12">
        <f>IF(ISBLANK(Distance),"",IF(Distance&gt;1000,(Distance-1000)/26+33.0847,(IF(Distance&gt;600,(Distance-600)/28+18.799,(IF(Distance&gt;400,(Distance-400)/30+12.1324,(IF(Distance&gt;200,(Distance-200)/32+5.8824,Distance/34))))))))</f>
        <v>4.0088235294117647</v>
      </c>
      <c r="M12">
        <f t="shared" ref="M12:M19" si="0">IF(ISBLANK(Distance),"",IF(Distance&gt;=brevet,IF(brevet&gt;1200,(brevet-1200)*75/1000+90,Max_time),IF(Distance&gt;1200,(Distance-1200)*75/1000+90,IF(Distance&gt;1000,(Distance-1000)/(1000/75)+75,IF(Distance&gt;600,(Distance-600)/(400/35)+40,Distance/15)))))</f>
        <v>9.0866666666666678</v>
      </c>
      <c r="N12" s="5">
        <f>IF(ISBLANK(Distance),"",Open_time Control_1+(INT(Open)&amp;":"&amp;IF(ROUND(((Open-INT(Open))*60),0)&lt;10,0,"")&amp;ROUND(((Open-INT(Open))*60),0)))</f>
        <v>44408.417361111111</v>
      </c>
      <c r="O12" s="5">
        <f>IF(ISBLANK(Distance),"",Open_time Control_1+(INT(Close)&amp;":"&amp;IF(ROUND(((Close-INT(Close))*60),0)&lt;10,0,"")&amp;ROUND(((Close-INT(Close))*60),0)))</f>
        <v>44408.628472222219</v>
      </c>
    </row>
    <row r="13" spans="1:23" ht="17.100000000000001" customHeight="1" x14ac:dyDescent="0.25">
      <c r="C13" s="3" t="s">
        <v>10</v>
      </c>
      <c r="D13" s="34">
        <v>181.6</v>
      </c>
      <c r="E13" s="93" t="s">
        <v>128</v>
      </c>
      <c r="F13" s="94" t="s">
        <v>107</v>
      </c>
      <c r="G13" s="94"/>
      <c r="H13" s="95"/>
      <c r="I13" s="101"/>
      <c r="J13" s="101"/>
      <c r="K13" s="102"/>
      <c r="L13">
        <f t="shared" ref="L13:L19" si="1">IF(ISBLANK(Distance),"",IF(Distance&gt;1000,(Distance-1000)/26+33.0847,(IF(Distance&gt;600,(Distance-600)/28+18.799,(IF(Distance&gt;400,(Distance-400)/30+12.1324,(IF(Distance&gt;200,(Distance-200)/32+5.8824,Distance/34))))))))</f>
        <v>5.341176470588235</v>
      </c>
      <c r="M13">
        <f t="shared" si="0"/>
        <v>12.106666666666666</v>
      </c>
      <c r="N13" s="5">
        <f>IF(ISBLANK(Distance),"",Open_time Control_1+(INT(Open)&amp;":"&amp;IF(ROUND(((Open-INT(Open))*60),0)&lt;10,0,"")&amp;ROUND(((Open-INT(Open))*60),0)))</f>
        <v>44408.472222222219</v>
      </c>
      <c r="O13" s="5">
        <f>IF(ISBLANK(Distance),"",Open_time Control_1+(INT(Close)&amp;":"&amp;IF(ROUND(((Close-INT(Close))*60),0)&lt;10,0,"")&amp;ROUND(((Close-INT(Close))*60),0)))</f>
        <v>44408.754166666666</v>
      </c>
    </row>
    <row r="14" spans="1:23" ht="17.100000000000001" customHeight="1" x14ac:dyDescent="0.25">
      <c r="C14" s="3" t="s">
        <v>11</v>
      </c>
      <c r="D14" s="34">
        <v>199.5</v>
      </c>
      <c r="E14" s="93" t="s">
        <v>108</v>
      </c>
      <c r="F14" s="94" t="s">
        <v>109</v>
      </c>
      <c r="G14" s="94" t="s">
        <v>112</v>
      </c>
      <c r="H14" s="95"/>
      <c r="I14" s="101"/>
      <c r="J14" s="101"/>
      <c r="K14" s="102"/>
      <c r="L14">
        <f t="shared" si="1"/>
        <v>5.867647058823529</v>
      </c>
      <c r="M14">
        <f t="shared" si="0"/>
        <v>13.3</v>
      </c>
      <c r="N14" s="5">
        <f>IF(ISBLANK(Distance),"",Open_time Control_1+(INT(Open)&amp;":"&amp;IF(ROUND(((Open-INT(Open))*60),0)&lt;10,0,"")&amp;ROUND(((Open-INT(Open))*60),0)))</f>
        <v>44408.494444444441</v>
      </c>
      <c r="O14" s="5">
        <f>IF(ISBLANK(Distance),"",Open_time Control_1+(INT(Close)&amp;":"&amp;IF(ROUND(((Close-INT(Close))*60),0)&lt;10,0,"")&amp;ROUND(((Close-INT(Close))*60),0)))</f>
        <v>44408.804166666669</v>
      </c>
      <c r="Q14" s="91" t="s">
        <v>79</v>
      </c>
    </row>
    <row r="15" spans="1:23" ht="17.100000000000001" customHeight="1" x14ac:dyDescent="0.25">
      <c r="C15" s="3" t="s">
        <v>12</v>
      </c>
      <c r="D15" s="34">
        <v>266.5</v>
      </c>
      <c r="E15" s="93" t="s">
        <v>87</v>
      </c>
      <c r="F15" s="94" t="s">
        <v>89</v>
      </c>
      <c r="G15" s="94" t="s">
        <v>113</v>
      </c>
      <c r="H15" s="95"/>
      <c r="I15" s="101"/>
      <c r="J15" s="101"/>
      <c r="K15" s="102"/>
      <c r="L15">
        <f t="shared" si="1"/>
        <v>7.9605249999999996</v>
      </c>
      <c r="M15">
        <f t="shared" si="0"/>
        <v>17.766666666666666</v>
      </c>
      <c r="N15" s="5">
        <f>IF(ISBLANK(Distance),"",Open_time Control_1+(INT(Open)&amp;":"&amp;IF(ROUND(((Open-INT(Open))*60),0)&lt;10,0,"")&amp;ROUND(((Open-INT(Open))*60),0)))</f>
        <v>44408.581944444442</v>
      </c>
      <c r="O15" s="5">
        <f>IF(ISBLANK(Distance),"",Open_time Control_1+(INT(Close)&amp;":"&amp;IF(ROUND(((Close-INT(Close))*60),0)&lt;10,0,"")&amp;ROUND(((Close-INT(Close))*60),0)))</f>
        <v>44408.990277777775</v>
      </c>
    </row>
    <row r="16" spans="1:23" ht="17.100000000000001" customHeight="1" x14ac:dyDescent="0.25">
      <c r="C16" s="3" t="s">
        <v>13</v>
      </c>
      <c r="D16" s="116">
        <v>376.9</v>
      </c>
      <c r="E16" s="93" t="s">
        <v>90</v>
      </c>
      <c r="F16" s="94" t="s">
        <v>91</v>
      </c>
      <c r="G16" s="94" t="s">
        <v>115</v>
      </c>
      <c r="H16" s="95"/>
      <c r="I16" s="101"/>
      <c r="J16" s="101"/>
      <c r="K16" s="102"/>
      <c r="L16">
        <f t="shared" si="1"/>
        <v>11.410525</v>
      </c>
      <c r="M16">
        <f t="shared" si="0"/>
        <v>25.126666666666665</v>
      </c>
      <c r="N16" s="5">
        <f>IF(ISBLANK(Distance),"",Open_time Control_1+(INT(Open)&amp;":"&amp;IF(ROUND(((Open-INT(Open))*60),0)&lt;10,0,"")&amp;ROUND(((Open-INT(Open))*60),0)))</f>
        <v>44408.725694444445</v>
      </c>
      <c r="O16" s="5">
        <f>IF(ISBLANK(Distance),"",Open_time Control_1+(INT(Close)&amp;":"&amp;IF(ROUND(((Close-INT(Close))*60),0)&lt;10,0,"")&amp;ROUND(((Close-INT(Close))*60),0)))</f>
        <v>44409.297222222223</v>
      </c>
    </row>
    <row r="17" spans="3:15" ht="17.100000000000001" customHeight="1" x14ac:dyDescent="0.25">
      <c r="C17" s="3" t="s">
        <v>14</v>
      </c>
      <c r="D17" s="34">
        <v>393.9</v>
      </c>
      <c r="E17" s="93" t="s">
        <v>130</v>
      </c>
      <c r="F17" s="94" t="s">
        <v>100</v>
      </c>
      <c r="G17" s="107" t="s">
        <v>101</v>
      </c>
      <c r="H17" s="95"/>
      <c r="I17" s="101"/>
      <c r="J17" s="101"/>
      <c r="K17" s="102"/>
      <c r="L17">
        <f t="shared" si="1"/>
        <v>11.941775</v>
      </c>
      <c r="M17">
        <f t="shared" si="0"/>
        <v>26.259999999999998</v>
      </c>
      <c r="N17" s="5">
        <f>IF(ISBLANK(Distance),"",Open_time Control_1+(INT(Open)&amp;":"&amp;IF(ROUND(((Open-INT(Open))*60),0)&lt;10,0,"")&amp;ROUND(((Open-INT(Open))*60),0)))</f>
        <v>44408.747916666667</v>
      </c>
      <c r="O17" s="5">
        <f>IF(ISBLANK(Distance),"",Open_time Control_1+(INT(Close)&amp;":"&amp;IF(ROUND(((Close-INT(Close))*60),0)&lt;10,0,"")&amp;ROUND(((Close-INT(Close))*60),0)))</f>
        <v>44409.344444444447</v>
      </c>
    </row>
    <row r="18" spans="3:15" ht="17.100000000000001" customHeight="1" x14ac:dyDescent="0.25">
      <c r="C18" s="3" t="s">
        <v>15</v>
      </c>
      <c r="D18" s="34">
        <v>451.3</v>
      </c>
      <c r="E18" s="93" t="s">
        <v>92</v>
      </c>
      <c r="F18" s="94" t="s">
        <v>93</v>
      </c>
      <c r="G18" s="94" t="s">
        <v>94</v>
      </c>
      <c r="H18" s="95" t="s">
        <v>118</v>
      </c>
      <c r="I18" s="101"/>
      <c r="J18" s="101"/>
      <c r="K18" s="102"/>
      <c r="L18">
        <f t="shared" si="1"/>
        <v>13.842400000000001</v>
      </c>
      <c r="M18">
        <f t="shared" si="0"/>
        <v>30.086666666666666</v>
      </c>
      <c r="N18" s="5">
        <f>IF(ISBLANK(Distance),"",Open_time Control_1+(INT(Open)&amp;":"&amp;IF(ROUND(((Open-INT(Open))*60),0)&lt;10,0,"")&amp;ROUND(((Open-INT(Open))*60),0)))</f>
        <v>44408.82708333333</v>
      </c>
      <c r="O18" s="5">
        <f>IF(ISBLANK(Distance),"",Open_time Control_1+(INT(Close)&amp;":"&amp;IF(ROUND(((Close-INT(Close))*60),0)&lt;10,0,"")&amp;ROUND(((Close-INT(Close))*60),0)))</f>
        <v>44409.503472222219</v>
      </c>
    </row>
    <row r="19" spans="3:15" ht="17.100000000000001" customHeight="1" thickBot="1" x14ac:dyDescent="0.25">
      <c r="C19" s="3" t="s">
        <v>16</v>
      </c>
      <c r="D19" s="63">
        <v>495.8</v>
      </c>
      <c r="E19" s="108" t="s">
        <v>119</v>
      </c>
      <c r="F19" s="109" t="s">
        <v>120</v>
      </c>
      <c r="G19" s="109" t="s">
        <v>121</v>
      </c>
      <c r="H19" s="110"/>
      <c r="I19" s="104"/>
      <c r="J19" s="104"/>
      <c r="K19" s="105"/>
      <c r="L19">
        <f t="shared" si="1"/>
        <v>15.325733333333334</v>
      </c>
      <c r="M19">
        <f t="shared" si="0"/>
        <v>33.053333333333335</v>
      </c>
      <c r="N19" s="5">
        <f>IF(ISBLANK(Distance),"",Open_time Control_1+(INT(Open)&amp;":"&amp;IF(ROUND(((Open-INT(Open))*60),0)&lt;10,0,"")&amp;ROUND(((Open-INT(Open))*60),0)))</f>
        <v>44408.888888888891</v>
      </c>
      <c r="O19" s="5">
        <f>IF(ISBLANK(Distance),"",Open_time Control_1+(INT(Close)&amp;":"&amp;IF(ROUND(((Close-INT(Close))*60),0)&lt;10,0,"")&amp;ROUND(((Close-INT(Close))*60),0)))</f>
        <v>44409.627083333333</v>
      </c>
    </row>
    <row r="20" spans="3:15" ht="6.95" customHeight="1" thickBot="1" x14ac:dyDescent="0.3">
      <c r="D20" s="83"/>
      <c r="E20" s="84"/>
      <c r="F20" s="85"/>
      <c r="G20" s="85"/>
      <c r="H20" s="85"/>
      <c r="I20" s="85"/>
      <c r="J20" s="85"/>
      <c r="K20" s="86"/>
      <c r="N20" s="5"/>
      <c r="O20" s="5"/>
    </row>
    <row r="21" spans="3:15" ht="13.5" thickBot="1" x14ac:dyDescent="0.25">
      <c r="D21" s="118" t="s">
        <v>62</v>
      </c>
      <c r="E21" s="119"/>
      <c r="F21" s="119"/>
      <c r="G21" s="119"/>
      <c r="H21" s="119"/>
      <c r="I21" s="118" t="s">
        <v>80</v>
      </c>
      <c r="J21" s="119"/>
      <c r="K21" s="120"/>
    </row>
    <row r="22" spans="3:15" ht="13.5" thickBot="1" x14ac:dyDescent="0.25">
      <c r="D22" s="6" t="s">
        <v>24</v>
      </c>
      <c r="E22" s="7" t="s">
        <v>25</v>
      </c>
      <c r="F22" s="81" t="s">
        <v>26</v>
      </c>
      <c r="G22" s="81" t="s">
        <v>27</v>
      </c>
      <c r="H22" s="82" t="s">
        <v>28</v>
      </c>
      <c r="I22" s="7" t="s">
        <v>64</v>
      </c>
      <c r="J22" s="7" t="s">
        <v>65</v>
      </c>
      <c r="K22" s="8" t="s">
        <v>66</v>
      </c>
      <c r="L22" t="s">
        <v>3</v>
      </c>
      <c r="M22" t="s">
        <v>4</v>
      </c>
      <c r="N22" t="s">
        <v>5</v>
      </c>
      <c r="O22" t="s">
        <v>6</v>
      </c>
    </row>
    <row r="23" spans="3:15" ht="15.75" x14ac:dyDescent="0.25">
      <c r="D23" s="34">
        <v>511.1</v>
      </c>
      <c r="E23" s="93" t="s">
        <v>102</v>
      </c>
      <c r="F23" s="94" t="s">
        <v>123</v>
      </c>
      <c r="G23" s="94" t="s">
        <v>124</v>
      </c>
      <c r="H23" s="95"/>
      <c r="I23" s="101"/>
      <c r="J23" s="101"/>
      <c r="K23" s="102"/>
      <c r="L23">
        <f>IF(ISBLANK(D23),"",IF(D23&gt;1000,(D23-1000)/26+33.0847,(IF(D23&gt;600,(D23-600)/28+18.799,(IF(D23&gt;400,(D23-400)/30+12.1324,(IF(D23&gt;200,(D23-200)/32+5.8824,D23/34))))))))</f>
        <v>15.835733333333334</v>
      </c>
      <c r="M23">
        <f>IF(ISBLANK(D23),"",IF(D23=0,(L23+1),IF(D23&gt;=brevet,IF(brevet&gt;1200,(brevet-1200)*75/1000+90,Max_time),IF(D23&gt;1200,(D23-1200)*75/1000+90,IF(D23&gt;1000,(D23-1000)/(1000/75)+75,IF(D23&gt;600,(D23-600)/(400/35)+40,D23/15))))))</f>
        <v>34.073333333333338</v>
      </c>
      <c r="N23" s="5">
        <f>IF(ISBLANK(D23),"",Open_time Control_1+(INT(L23)&amp;":"&amp;IF(ROUND(((L23-INT(L23))*60),0)&lt;10,0,"")&amp;ROUND(((L23-INT(L23))*60),0)))</f>
        <v>44408.909722222219</v>
      </c>
      <c r="O23" s="5">
        <f>IF(ISBLANK(D23),"",Open_time Control_1+(INT(M23)&amp;":"&amp;IF(ROUND(((M23-INT(M23))*60),0)&lt;10,0,"")&amp;ROUND(((M23-INT(M23))*60),0)))</f>
        <v>44409.669444444444</v>
      </c>
    </row>
    <row r="24" spans="3:15" ht="17.100000000000001" customHeight="1" x14ac:dyDescent="0.25">
      <c r="D24" s="34">
        <v>537.70000000000005</v>
      </c>
      <c r="E24" s="93" t="s">
        <v>103</v>
      </c>
      <c r="F24" s="94" t="s">
        <v>125</v>
      </c>
      <c r="G24" s="94" t="s">
        <v>118</v>
      </c>
      <c r="H24" s="95"/>
      <c r="I24" s="101"/>
      <c r="J24" s="101"/>
      <c r="K24" s="102"/>
      <c r="L24">
        <f t="shared" ref="L24:L32" si="2">IF(ISBLANK(D24),"",IF(D24&gt;1000,(D24-1000)/26+33.0847,(IF(D24&gt;600,(D24-600)/28+18.799,(IF(D24&gt;400,(D24-400)/30+12.1324,(IF(D24&gt;200,(D24-200)/32+5.8824,D24/34))))))))</f>
        <v>16.7224</v>
      </c>
      <c r="M24">
        <f t="shared" ref="M24:M32" si="3">IF(ISBLANK(D24),"",IF(D24&gt;=brevet,IF(brevet&gt;1200,(brevet-1200)*75/1000+90,Max_time),IF(D24&gt;1200,(D24-1200)*75/1000+90,IF(D24&gt;1000,(D24-1000)/(1000/75)+75,IF(D24&gt;600,(D24-600)/(400/35)+40,D24/15)))))</f>
        <v>35.846666666666671</v>
      </c>
      <c r="N24" s="5">
        <f>IF(ISBLANK(D24),"",Open_time Control_1+(INT(L24)&amp;":"&amp;IF(ROUND(((L24-INT(L24))*60),0)&lt;10,0,"")&amp;ROUND(((L24-INT(L24))*60),0)))</f>
        <v>44408.946527777778</v>
      </c>
      <c r="O24" s="5">
        <f>IF(ISBLANK(D24),"",Open_time Control_1+(INT(M24)&amp;":"&amp;IF(ROUND(((M24-INT(M24))*60),0)&lt;10,0,"")&amp;ROUND(((M24-INT(M24))*60),0)))</f>
        <v>44409.743750000001</v>
      </c>
    </row>
    <row r="25" spans="3:15" ht="17.100000000000001" customHeight="1" x14ac:dyDescent="0.25">
      <c r="D25" s="34">
        <v>601.20000000000005</v>
      </c>
      <c r="E25" s="93" t="s">
        <v>98</v>
      </c>
      <c r="F25" s="94" t="s">
        <v>97</v>
      </c>
      <c r="G25" s="94" t="s">
        <v>96</v>
      </c>
      <c r="H25" s="95"/>
      <c r="I25" s="101"/>
      <c r="J25" s="101"/>
      <c r="K25" s="102"/>
      <c r="L25">
        <f t="shared" si="2"/>
        <v>18.841857142857144</v>
      </c>
      <c r="M25">
        <f t="shared" si="3"/>
        <v>40</v>
      </c>
      <c r="N25" s="5">
        <f>IF(ISBLANK(D25),"",Open_time Control_1+(INT(L25)&amp;":"&amp;IF(ROUND(((L25-INT(L25))*60),0)&lt;10,0,"")&amp;ROUND(((L25-INT(L25))*60),0)))</f>
        <v>44409.035416666666</v>
      </c>
      <c r="O25" s="5">
        <f>IF(ISBLANK(D25),"",Open_time Control_1+(INT(M25)&amp;":"&amp;IF(ROUND(((M25-INT(M25))*60),0)&lt;10,0,"")&amp;ROUND(((M25-INT(M25))*60),0)))</f>
        <v>44409.916666666664</v>
      </c>
    </row>
    <row r="26" spans="3:15" ht="17.100000000000001" customHeight="1" x14ac:dyDescent="0.25">
      <c r="D26" s="34"/>
      <c r="E26" s="93"/>
      <c r="F26" s="94"/>
      <c r="G26" s="94"/>
      <c r="H26" s="95"/>
      <c r="I26" s="101"/>
      <c r="J26" s="101"/>
      <c r="K26" s="102"/>
      <c r="L26" t="str">
        <f t="shared" si="2"/>
        <v/>
      </c>
      <c r="M26" t="str">
        <f t="shared" si="3"/>
        <v/>
      </c>
      <c r="N26" s="5" t="str">
        <f>IF(ISBLANK(D26),"",Open_time Control_1+(INT(L26)&amp;":"&amp;IF(ROUND(((L26-INT(L26))*60),0)&lt;10,0,"")&amp;ROUND(((L26-INT(L26))*60),0)))</f>
        <v/>
      </c>
      <c r="O26" s="5" t="str">
        <f>IF(ISBLANK(D26),"",Open_time Control_1+(INT(M26)&amp;":"&amp;IF(ROUND(((M26-INT(M26))*60),0)&lt;10,0,"")&amp;ROUND(((M26-INT(M26))*60),0)))</f>
        <v/>
      </c>
    </row>
    <row r="27" spans="3:15" ht="17.100000000000001" customHeight="1" x14ac:dyDescent="0.25">
      <c r="D27" s="34"/>
      <c r="E27" s="93"/>
      <c r="F27" s="94"/>
      <c r="G27" s="94"/>
      <c r="H27" s="95"/>
      <c r="I27" s="101"/>
      <c r="J27" s="101"/>
      <c r="K27" s="102"/>
      <c r="L27" t="str">
        <f t="shared" si="2"/>
        <v/>
      </c>
      <c r="M27" t="str">
        <f t="shared" si="3"/>
        <v/>
      </c>
      <c r="N27" s="5" t="str">
        <f>IF(ISBLANK(D27),"",Open_time Control_1+(INT(L27)&amp;":"&amp;IF(ROUND(((L27-INT(L27))*60),0)&lt;10,0,"")&amp;ROUND(((L27-INT(L27))*60),0)))</f>
        <v/>
      </c>
      <c r="O27" s="5" t="str">
        <f>IF(ISBLANK(D27),"",Open_time Control_1+(INT(M27)&amp;":"&amp;IF(ROUND(((M27-INT(M27))*60),0)&lt;10,0,"")&amp;ROUND(((M27-INT(M27))*60),0)))</f>
        <v/>
      </c>
    </row>
    <row r="28" spans="3:15" ht="17.100000000000001" customHeight="1" x14ac:dyDescent="0.25">
      <c r="D28" s="34"/>
      <c r="E28" s="93"/>
      <c r="F28" s="94"/>
      <c r="G28" s="94"/>
      <c r="H28" s="95"/>
      <c r="I28" s="101"/>
      <c r="J28" s="101"/>
      <c r="K28" s="102"/>
      <c r="L28" t="str">
        <f t="shared" si="2"/>
        <v/>
      </c>
      <c r="M28" t="str">
        <f t="shared" si="3"/>
        <v/>
      </c>
      <c r="N28" s="5" t="str">
        <f>IF(ISBLANK(D28),"",Open_time Control_1+(INT(L28)&amp;":"&amp;IF(ROUND(((L28-INT(L28))*60),0)&lt;10,0,"")&amp;ROUND(((L28-INT(L28))*60),0)))</f>
        <v/>
      </c>
      <c r="O28" s="5" t="str">
        <f>IF(ISBLANK(D28),"",Open_time Control_1+(INT(M28)&amp;":"&amp;IF(ROUND(((M28-INT(M28))*60),0)&lt;10,0,"")&amp;ROUND(((M28-INT(M28))*60),0)))</f>
        <v/>
      </c>
    </row>
    <row r="29" spans="3:15" ht="17.100000000000001" customHeight="1" x14ac:dyDescent="0.25">
      <c r="D29" s="34"/>
      <c r="E29" s="93"/>
      <c r="F29" s="94"/>
      <c r="G29" s="94"/>
      <c r="H29" s="95"/>
      <c r="I29" s="101"/>
      <c r="J29" s="101"/>
      <c r="K29" s="102"/>
      <c r="L29" t="str">
        <f t="shared" si="2"/>
        <v/>
      </c>
      <c r="M29" t="str">
        <f t="shared" si="3"/>
        <v/>
      </c>
      <c r="N29" s="5" t="str">
        <f>IF(ISBLANK(D29),"",Open_time Control_1+(INT(L29)&amp;":"&amp;IF(ROUND(((L29-INT(L29))*60),0)&lt;10,0,"")&amp;ROUND(((L29-INT(L29))*60),0)))</f>
        <v/>
      </c>
      <c r="O29" s="5" t="str">
        <f>IF(ISBLANK(D29),"",Open_time Control_1+(INT(M29)&amp;":"&amp;IF(ROUND(((M29-INT(M29))*60),0)&lt;10,0,"")&amp;ROUND(((M29-INT(M29))*60),0)))</f>
        <v/>
      </c>
    </row>
    <row r="30" spans="3:15" ht="17.100000000000001" customHeight="1" x14ac:dyDescent="0.25">
      <c r="D30" s="34"/>
      <c r="E30" s="93"/>
      <c r="F30" s="94"/>
      <c r="G30" s="94"/>
      <c r="H30" s="95"/>
      <c r="I30" s="101"/>
      <c r="J30" s="101"/>
      <c r="K30" s="102"/>
      <c r="L30" t="str">
        <f t="shared" si="2"/>
        <v/>
      </c>
      <c r="M30" t="str">
        <f t="shared" si="3"/>
        <v/>
      </c>
      <c r="N30" s="5" t="str">
        <f>IF(ISBLANK(D30),"",Open_time Control_1+(INT(L30)&amp;":"&amp;IF(ROUND(((L30-INT(L30))*60),0)&lt;10,0,"")&amp;ROUND(((L30-INT(L30))*60),0)))</f>
        <v/>
      </c>
      <c r="O30" s="5" t="str">
        <f>IF(ISBLANK(D30),"",Open_time Control_1+(INT(M30)&amp;":"&amp;IF(ROUND(((M30-INT(M30))*60),0)&lt;10,0,"")&amp;ROUND(((M30-INT(M30))*60),0)))</f>
        <v/>
      </c>
    </row>
    <row r="31" spans="3:15" ht="17.100000000000001" customHeight="1" x14ac:dyDescent="0.25">
      <c r="D31" s="34"/>
      <c r="E31" s="93"/>
      <c r="F31" s="94"/>
      <c r="G31" s="94"/>
      <c r="H31" s="95"/>
      <c r="I31" s="101"/>
      <c r="J31" s="101"/>
      <c r="K31" s="102"/>
      <c r="L31" t="str">
        <f t="shared" si="2"/>
        <v/>
      </c>
      <c r="M31" t="str">
        <f t="shared" si="3"/>
        <v/>
      </c>
      <c r="N31" s="5" t="str">
        <f>IF(ISBLANK(D31),"",Open_time Control_1+(INT(L31)&amp;":"&amp;IF(ROUND(((L31-INT(L31))*60),0)&lt;10,0,"")&amp;ROUND(((L31-INT(L31))*60),0)))</f>
        <v/>
      </c>
      <c r="O31" s="5" t="str">
        <f>IF(ISBLANK(D31),"",Open_time Control_1+(INT(M31)&amp;":"&amp;IF(ROUND(((M31-INT(M31))*60),0)&lt;10,0,"")&amp;ROUND(((M31-INT(M31))*60),0)))</f>
        <v/>
      </c>
    </row>
    <row r="32" spans="3:15" ht="17.100000000000001" customHeight="1" thickBot="1" x14ac:dyDescent="0.25">
      <c r="D32" s="63"/>
      <c r="E32" s="103"/>
      <c r="F32" s="104"/>
      <c r="G32" s="104"/>
      <c r="H32" s="105"/>
      <c r="I32" s="104"/>
      <c r="J32" s="104"/>
      <c r="K32" s="105"/>
      <c r="L32" t="str">
        <f t="shared" si="2"/>
        <v/>
      </c>
      <c r="M32" t="str">
        <f t="shared" si="3"/>
        <v/>
      </c>
      <c r="N32" s="5" t="str">
        <f>IF(ISBLANK(D32),"",Open_time Control_1+(INT(L32)&amp;":"&amp;IF(ROUND(((L32-INT(L32))*60),0)&lt;10,0,"")&amp;ROUND(((L32-INT(L32))*60),0)))</f>
        <v/>
      </c>
      <c r="O32" s="5" t="str">
        <f>IF(ISBLANK(D32),"",Open_time Control_1+(INT(M32)&amp;":"&amp;IF(ROUND(((M32-INT(M32))*60),0)&lt;10,0,"")&amp;ROUND(((M32-INT(M32))*60),0)))</f>
        <v/>
      </c>
    </row>
  </sheetData>
  <mergeCells count="5">
    <mergeCell ref="J1:K1"/>
    <mergeCell ref="D8:H8"/>
    <mergeCell ref="D21:H21"/>
    <mergeCell ref="I8:K8"/>
    <mergeCell ref="I21:K21"/>
  </mergeCells>
  <phoneticPr fontId="16" type="noConversion"/>
  <pageMargins left="0.75" right="0.75" top="1" bottom="1" header="0.5" footer="0.5"/>
  <pageSetup orientation="portrait" horizontalDpi="4294967292" verticalDpi="4294967292"/>
  <headerFooter>
    <oddHeader>&amp;A</oddHeader>
    <oddFooter>Page &amp;P</oddFooter>
  </headerFooter>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0"/>
  <sheetViews>
    <sheetView showGridLines="0" tabSelected="1" topLeftCell="A16" zoomScale="92" zoomScaleNormal="92" zoomScalePageLayoutView="92" workbookViewId="0">
      <selection activeCell="D24" sqref="D24:D26"/>
    </sheetView>
  </sheetViews>
  <sheetFormatPr defaultColWidth="8.85546875" defaultRowHeight="12.75" x14ac:dyDescent="0.2"/>
  <cols>
    <col min="1" max="1" width="8.42578125" style="1" customWidth="1"/>
    <col min="2" max="2" width="13.28515625" customWidth="1"/>
    <col min="3" max="3" width="11.7109375" customWidth="1"/>
    <col min="4" max="4" width="18" customWidth="1"/>
    <col min="5" max="5" width="23.85546875" customWidth="1"/>
    <col min="6" max="6" width="42" customWidth="1"/>
    <col min="7" max="7" width="13.42578125" customWidth="1"/>
    <col min="8" max="8" width="8" style="36" customWidth="1"/>
    <col min="9" max="9" width="12" customWidth="1"/>
    <col min="18" max="19" width="8.85546875" customWidth="1"/>
  </cols>
  <sheetData>
    <row r="1" spans="1:22" ht="21" thickBot="1" x14ac:dyDescent="0.25">
      <c r="A1" s="129" t="s">
        <v>44</v>
      </c>
      <c r="B1" s="129"/>
      <c r="C1" s="129"/>
      <c r="D1" s="129"/>
      <c r="E1" s="129"/>
      <c r="F1" s="129"/>
      <c r="G1" s="129"/>
      <c r="H1" s="35" t="s">
        <v>29</v>
      </c>
    </row>
    <row r="2" spans="1:22" ht="33.75" customHeight="1" thickBot="1" x14ac:dyDescent="0.3">
      <c r="A2" s="92" t="s">
        <v>30</v>
      </c>
      <c r="B2" s="9" t="s">
        <v>3</v>
      </c>
      <c r="C2" s="9" t="s">
        <v>4</v>
      </c>
      <c r="D2" s="9" t="s">
        <v>25</v>
      </c>
      <c r="E2" s="9" t="s">
        <v>31</v>
      </c>
      <c r="F2" s="9" t="s">
        <v>60</v>
      </c>
      <c r="G2" s="92" t="s">
        <v>32</v>
      </c>
      <c r="H2" s="35" t="s">
        <v>29</v>
      </c>
      <c r="K2" s="143" t="s">
        <v>56</v>
      </c>
      <c r="L2" s="143"/>
      <c r="M2" s="143"/>
      <c r="N2" s="143"/>
      <c r="O2" s="143"/>
      <c r="P2" s="143"/>
      <c r="Q2" s="143"/>
      <c r="R2" s="143"/>
      <c r="S2" s="143"/>
      <c r="T2" s="143"/>
      <c r="U2" s="143"/>
    </row>
    <row r="3" spans="1:22" ht="36" customHeight="1" x14ac:dyDescent="0.55000000000000004">
      <c r="A3" s="39"/>
      <c r="B3" s="40">
        <f>Control_1 Open_time</f>
        <v>44408.25</v>
      </c>
      <c r="C3" s="40">
        <f>Control_1 Close_time</f>
        <v>44408.291666666664</v>
      </c>
      <c r="D3" s="132" t="str">
        <f>IF(ISBLANK(Locale Control_1),"",Locale Control_1)</f>
        <v xml:space="preserve"> NW corner 12 Ave and 56 St Tsawwassen</v>
      </c>
      <c r="E3" s="132" t="str">
        <f>IF(ISBLANK(Control_1 Establishment_1),"",Control_1 Establishment_1)</f>
        <v>Raitt Rd Historic Marker on yellow sign</v>
      </c>
      <c r="F3" s="49" t="s">
        <v>81</v>
      </c>
      <c r="G3" s="10"/>
      <c r="H3" s="35" t="s">
        <v>29</v>
      </c>
      <c r="K3" s="16"/>
      <c r="N3" s="138" t="s">
        <v>33</v>
      </c>
      <c r="O3" s="139"/>
      <c r="P3" s="139"/>
      <c r="Q3" s="139"/>
      <c r="R3" s="139"/>
      <c r="S3" s="139"/>
      <c r="U3" s="51"/>
    </row>
    <row r="4" spans="1:22" ht="36" customHeight="1" x14ac:dyDescent="0.25">
      <c r="A4" s="47">
        <f>IF(ISBLANK(Distance Control_1),"",Control_1 Distance)</f>
        <v>0</v>
      </c>
      <c r="B4" s="48">
        <f>Control_1 Open_time</f>
        <v>44408.25</v>
      </c>
      <c r="C4" s="48">
        <f>Control_1 Close_time</f>
        <v>44408.291666666664</v>
      </c>
      <c r="D4" s="133"/>
      <c r="E4" s="137"/>
      <c r="F4" s="41" t="str">
        <f>IF(ISBLANK('Control Entry'!J10),"",'Control Entry'!J10)</f>
        <v/>
      </c>
      <c r="G4" s="10"/>
      <c r="H4" s="35" t="s">
        <v>29</v>
      </c>
      <c r="K4" s="16"/>
      <c r="M4" s="122" t="str">
        <f>IF(ISBLANK(brevet),"",brevet&amp;" km Randonnée")</f>
        <v>600 km Randonnée</v>
      </c>
      <c r="N4" s="122"/>
      <c r="O4" s="122"/>
      <c r="P4" s="122"/>
      <c r="Q4" s="122"/>
      <c r="R4" s="122"/>
      <c r="S4" s="122"/>
      <c r="T4" s="122"/>
      <c r="U4" s="52"/>
    </row>
    <row r="5" spans="1:22" ht="48.6" customHeight="1" thickBot="1" x14ac:dyDescent="0.35">
      <c r="A5" s="42"/>
      <c r="B5" s="43">
        <f>Control_1 Open_time</f>
        <v>44408.25</v>
      </c>
      <c r="C5" s="43">
        <f>Control_1 Close_time</f>
        <v>44408.291666666664</v>
      </c>
      <c r="D5" s="134"/>
      <c r="E5" s="111" t="str">
        <f>IF(ISBLANK(Control_1 'Control Entry'!H1Establishment_3),"",Control_1 Establishment_3)</f>
        <v>(10 ft beyond bus stop sign)</v>
      </c>
      <c r="F5" s="96" t="str">
        <f>IF(ISBLANK('Control Entry'!K10),"",'Control Entry'!K10)</f>
        <v/>
      </c>
      <c r="G5" s="11"/>
      <c r="H5" s="35" t="s">
        <v>29</v>
      </c>
      <c r="K5" s="16"/>
      <c r="M5" s="17"/>
      <c r="N5" s="121" t="s">
        <v>48</v>
      </c>
      <c r="O5" s="121"/>
      <c r="P5" s="79">
        <f>IF(ISBLANK(Brevet_Number),"",Brevet_Number)</f>
        <v>5079</v>
      </c>
      <c r="Q5" s="80"/>
      <c r="R5" s="140">
        <f>IF(ISBLANK('Control Entry'!$B5),"",'Control Entry'!$B5)</f>
        <v>44408</v>
      </c>
      <c r="S5" s="140"/>
      <c r="T5" s="140"/>
      <c r="U5" s="140"/>
      <c r="V5" s="53"/>
    </row>
    <row r="6" spans="1:22" ht="36" customHeight="1" x14ac:dyDescent="0.3">
      <c r="A6" s="39"/>
      <c r="B6" s="40">
        <f>Control_2 Open_time</f>
        <v>44408.343055555553</v>
      </c>
      <c r="C6" s="40">
        <f>Control_2 Close_time</f>
        <v>44408.460416666669</v>
      </c>
      <c r="D6" s="46"/>
      <c r="E6" s="49" t="str">
        <f>IF(ISBLANK(Control_2 Establishment_1),"",Control_2 Establishment_1)</f>
        <v xml:space="preserve">B St &amp; 2 Ave </v>
      </c>
      <c r="F6" s="49" t="s">
        <v>110</v>
      </c>
      <c r="G6" s="10"/>
      <c r="H6" s="35" t="s">
        <v>29</v>
      </c>
      <c r="K6" s="16"/>
      <c r="L6" s="124" t="str">
        <f>IF(ISBLANK(Brevet_Description),"",Brevet_Description)</f>
        <v>Tsawwassen-Tsawwassen-Tsawwassen</v>
      </c>
      <c r="M6" s="124"/>
      <c r="N6" s="124"/>
      <c r="O6" s="124"/>
      <c r="P6" s="124"/>
      <c r="Q6" s="124"/>
      <c r="R6" s="124"/>
      <c r="S6" s="124"/>
      <c r="T6" s="124"/>
      <c r="U6" s="124"/>
    </row>
    <row r="7" spans="1:22" ht="36" customHeight="1" x14ac:dyDescent="0.25">
      <c r="A7" s="47">
        <f>IF(ISBLANK(Distance Control_2),"",Control_2 Distance)</f>
        <v>75.8</v>
      </c>
      <c r="B7" s="48">
        <f>Control_2 Open_time</f>
        <v>44408.343055555553</v>
      </c>
      <c r="C7" s="48">
        <f>Control_2 Close_time</f>
        <v>44408.460416666669</v>
      </c>
      <c r="D7" s="49" t="str">
        <f>IF(ISBLANK(Locale Control_2),"",Locale Control_2)</f>
        <v>Abbotsford</v>
      </c>
      <c r="E7" s="49" t="str">
        <f>IF(ISBLANK(Control_2 Establishment_2),"",Control_2 Establishment_2)</f>
        <v>Back Stop Sign</v>
      </c>
      <c r="F7" s="41" t="str">
        <f>IF(ISBLANK('Control Entry'!J11),"",'Control Entry'!J11)</f>
        <v/>
      </c>
      <c r="G7" s="10"/>
      <c r="H7" s="35" t="s">
        <v>29</v>
      </c>
    </row>
    <row r="8" spans="1:22" ht="36" customHeight="1" thickBot="1" x14ac:dyDescent="0.35">
      <c r="A8" s="42"/>
      <c r="B8" s="43">
        <f>Control_2 Open_time</f>
        <v>44408.343055555553</v>
      </c>
      <c r="C8" s="43">
        <f>Control_2 Close_time</f>
        <v>44408.460416666669</v>
      </c>
      <c r="D8" s="44"/>
      <c r="E8" s="111" t="str">
        <f>IF(ISBLANK(Control_2 Establishment_3),"",Control_2 Establishment_3)</f>
        <v/>
      </c>
      <c r="F8" s="45" t="str">
        <f>IF(ISBLANK('Control Entry'!K11),"",'Control Entry'!K11)</f>
        <v/>
      </c>
      <c r="G8" s="11"/>
      <c r="H8" s="35" t="s">
        <v>29</v>
      </c>
      <c r="J8" s="17" t="s">
        <v>34</v>
      </c>
      <c r="L8" s="126"/>
      <c r="M8" s="126"/>
      <c r="N8" s="126"/>
      <c r="O8" s="126"/>
      <c r="P8" s="126"/>
      <c r="Q8" s="126"/>
      <c r="R8" s="36"/>
      <c r="S8" s="54" t="s">
        <v>47</v>
      </c>
      <c r="T8" s="125"/>
      <c r="U8" s="125"/>
    </row>
    <row r="9" spans="1:22" ht="36" customHeight="1" thickBot="1" x14ac:dyDescent="0.45">
      <c r="A9" s="39"/>
      <c r="B9" s="40">
        <f>Control_3 Open_time</f>
        <v>44408.417361111111</v>
      </c>
      <c r="C9" s="40">
        <f>Control_3 Close_time</f>
        <v>44408.628472222219</v>
      </c>
      <c r="D9" s="132" t="str">
        <f>IF(ISBLANK(Locale Control_3),"",Locale Control_3)</f>
        <v>Hwy 9 just before Hwy7 Agassiz</v>
      </c>
      <c r="E9" s="49" t="str">
        <f>IF(ISBLANK(Control_3 Establishment_1),"",Control_3 Establishment_1)</f>
        <v xml:space="preserve">Utility pole </v>
      </c>
      <c r="F9" s="49" t="s">
        <v>106</v>
      </c>
      <c r="G9" s="10"/>
      <c r="H9" s="35" t="s">
        <v>29</v>
      </c>
      <c r="J9" s="17" t="s">
        <v>35</v>
      </c>
      <c r="K9" s="17"/>
      <c r="L9" s="64" t="s">
        <v>55</v>
      </c>
      <c r="M9" s="23"/>
      <c r="N9" s="23"/>
      <c r="O9" s="23"/>
      <c r="P9" s="23"/>
      <c r="Q9" s="23"/>
      <c r="R9" s="23"/>
      <c r="S9" s="23"/>
      <c r="T9" s="23"/>
      <c r="U9" s="21"/>
    </row>
    <row r="10" spans="1:22" ht="36" customHeight="1" thickBot="1" x14ac:dyDescent="0.4">
      <c r="A10" s="47">
        <f>IF(ISBLANK(Distance Control_3),"",Control_3 Distance)</f>
        <v>136.30000000000001</v>
      </c>
      <c r="B10" s="48">
        <f>Control_3 Open_time</f>
        <v>44408.417361111111</v>
      </c>
      <c r="C10" s="48">
        <f>Control_3 Close_time</f>
        <v>44408.628472222219</v>
      </c>
      <c r="D10" s="133"/>
      <c r="E10" s="49" t="str">
        <f>IF(ISBLANK(Control_3 Establishment_2),"",Control_3 Establishment_2)</f>
        <v>Budget Clearing and Brush Control</v>
      </c>
      <c r="F10" s="41" t="str">
        <f>IF(ISBLANK('Control Entry'!J12),"",'Control Entry'!J12)</f>
        <v/>
      </c>
      <c r="G10" s="10"/>
      <c r="H10" s="35" t="s">
        <v>29</v>
      </c>
      <c r="J10" s="17"/>
      <c r="K10" s="17"/>
      <c r="L10" s="37"/>
      <c r="M10" s="23"/>
      <c r="N10" s="23"/>
      <c r="O10" s="23"/>
      <c r="P10" s="23"/>
      <c r="Q10" s="23"/>
      <c r="R10" s="23"/>
      <c r="S10" s="23"/>
      <c r="T10" s="23"/>
      <c r="U10" s="21"/>
    </row>
    <row r="11" spans="1:22" ht="36" customHeight="1" thickBot="1" x14ac:dyDescent="0.4">
      <c r="A11" s="42"/>
      <c r="B11" s="43">
        <f>Control_3 Open_time</f>
        <v>44408.417361111111</v>
      </c>
      <c r="C11" s="43">
        <f>Control_3 Close_time</f>
        <v>44408.628472222219</v>
      </c>
      <c r="D11" s="134"/>
      <c r="E11" s="111" t="str">
        <f>IF(ISBLANK(Control_3 Establishment_3),"",Control_3 Establishment_3)</f>
        <v/>
      </c>
      <c r="F11" s="45" t="str">
        <f>IF(ISBLANK('Control Entry'!K12),"",'Control Entry'!K12)</f>
        <v/>
      </c>
      <c r="G11" s="11"/>
      <c r="H11" s="35" t="s">
        <v>29</v>
      </c>
      <c r="J11" s="17" t="s">
        <v>36</v>
      </c>
      <c r="K11" s="17"/>
      <c r="L11" s="37"/>
      <c r="M11" s="23"/>
      <c r="N11" s="23"/>
      <c r="O11" s="24"/>
      <c r="P11" s="24" t="s">
        <v>37</v>
      </c>
      <c r="Q11" s="24"/>
      <c r="R11" s="24"/>
      <c r="S11" s="56"/>
      <c r="T11" s="37"/>
      <c r="U11" s="21"/>
    </row>
    <row r="12" spans="1:22" ht="36" customHeight="1" thickBot="1" x14ac:dyDescent="0.4">
      <c r="A12" s="39"/>
      <c r="B12" s="40">
        <f>Control_4 Open_time</f>
        <v>44408.472222222219</v>
      </c>
      <c r="C12" s="40">
        <f>Control_4 Close_time</f>
        <v>44408.754166666666</v>
      </c>
      <c r="D12" s="132" t="str">
        <f>IF(ISBLANK(Locale Control_4),"",Locale Control_4)</f>
        <v>Hope River Store,  Emory Creek Park Rd &amp; Hwy 1</v>
      </c>
      <c r="E12" s="115" t="str">
        <f>IF(ISBLANK(Control_4 Establishment_1),"",Control_4 Establishment_1)</f>
        <v>Sign above entrance door</v>
      </c>
      <c r="F12" s="115" t="s">
        <v>88</v>
      </c>
      <c r="G12" s="10"/>
      <c r="H12" s="35" t="s">
        <v>29</v>
      </c>
      <c r="J12" s="17" t="s">
        <v>38</v>
      </c>
      <c r="K12" s="17"/>
      <c r="L12" s="37"/>
      <c r="M12" s="23"/>
      <c r="N12" s="23"/>
      <c r="O12" s="24"/>
      <c r="P12" s="24" t="s">
        <v>39</v>
      </c>
      <c r="Q12" s="24"/>
      <c r="R12" s="24"/>
      <c r="S12" s="56"/>
      <c r="T12" s="37"/>
      <c r="U12" s="21"/>
    </row>
    <row r="13" spans="1:22" ht="36" customHeight="1" thickBot="1" x14ac:dyDescent="0.4">
      <c r="A13" s="47">
        <f>IF(ISBLANK(Distance Control_4),"",Control_4 Distance)</f>
        <v>181.6</v>
      </c>
      <c r="B13" s="48">
        <f>Control_4 Open_time</f>
        <v>44408.472222222219</v>
      </c>
      <c r="C13" s="48">
        <f>Control_4 Close_time</f>
        <v>44408.754166666666</v>
      </c>
      <c r="D13" s="133"/>
      <c r="E13" s="41" t="str">
        <f>IF(ISBLANK(Control_4 Establishment_2),"",Control_4 Establishment_2)</f>
        <v/>
      </c>
      <c r="F13" s="41" t="str">
        <f>IF(ISBLANK('Control Entry'!J13),"",'Control Entry'!J13)</f>
        <v/>
      </c>
      <c r="G13" s="10"/>
      <c r="H13" s="35" t="s">
        <v>29</v>
      </c>
      <c r="J13" s="17" t="s">
        <v>40</v>
      </c>
      <c r="L13" s="77"/>
      <c r="M13" s="78"/>
      <c r="N13" s="78"/>
      <c r="O13" s="25"/>
      <c r="P13" s="24" t="s">
        <v>41</v>
      </c>
      <c r="Q13" s="24"/>
      <c r="R13" s="38"/>
      <c r="S13" s="26"/>
      <c r="T13" s="26"/>
      <c r="U13" s="22"/>
    </row>
    <row r="14" spans="1:22" ht="36" customHeight="1" thickBot="1" x14ac:dyDescent="0.3">
      <c r="A14" s="42"/>
      <c r="B14" s="43">
        <f>Control_4 Open_time</f>
        <v>44408.472222222219</v>
      </c>
      <c r="C14" s="43">
        <f>Control_4 Close_time</f>
        <v>44408.754166666666</v>
      </c>
      <c r="D14" s="134"/>
      <c r="E14" s="45" t="str">
        <f>IF(ISBLANK(Control_4 Establishment_3),"",Control_4 Establishment_3)</f>
        <v/>
      </c>
      <c r="F14" s="96" t="str">
        <f>IF(ISBLANK('Control Entry'!K13),"",'Control Entry'!K13)</f>
        <v/>
      </c>
      <c r="G14" s="11"/>
      <c r="H14" s="35" t="s">
        <v>29</v>
      </c>
    </row>
    <row r="15" spans="1:22" ht="36" customHeight="1" x14ac:dyDescent="0.3">
      <c r="A15" s="39"/>
      <c r="B15" s="40">
        <f>Control_5 Open_time</f>
        <v>44408.494444444441</v>
      </c>
      <c r="C15" s="40">
        <f>Control_5 Close_time</f>
        <v>44408.804166666669</v>
      </c>
      <c r="D15" s="132" t="str">
        <f>IF(ISBLANK(Locale Control_5),"",Locale Control_5)</f>
        <v xml:space="preserve">Hope  </v>
      </c>
      <c r="E15" s="49" t="str">
        <f>IF(ISBLANK(Control_5 Establishment_1),"",Control_5 Establishment_1)</f>
        <v>Chevron</v>
      </c>
      <c r="F15" s="49" t="s">
        <v>111</v>
      </c>
      <c r="G15" s="10"/>
      <c r="H15" s="35" t="s">
        <v>29</v>
      </c>
      <c r="J15" s="17"/>
      <c r="L15" s="128" t="s">
        <v>59</v>
      </c>
      <c r="M15" s="128"/>
      <c r="N15" s="128"/>
      <c r="O15" s="128"/>
      <c r="P15" s="128"/>
      <c r="Q15" s="128"/>
      <c r="R15" s="128"/>
      <c r="S15" s="128"/>
      <c r="T15" s="128"/>
      <c r="U15" s="128"/>
    </row>
    <row r="16" spans="1:22" ht="36" customHeight="1" thickBot="1" x14ac:dyDescent="0.3">
      <c r="A16" s="47">
        <f>IF(ISBLANK(Distance Control_5),"",Control_5 Distance)</f>
        <v>199.5</v>
      </c>
      <c r="B16" s="48">
        <f>Control_5 Open_time</f>
        <v>44408.494444444441</v>
      </c>
      <c r="C16" s="48">
        <f>Control_5 Close_time</f>
        <v>44408.804166666669</v>
      </c>
      <c r="D16" s="133"/>
      <c r="E16" s="135" t="str">
        <f>IF(ISBLANK(Control_5 Establishment_2),"",Control_5 Establishment_2)</f>
        <v>Drop box (large mail slot) to right of door</v>
      </c>
      <c r="F16" s="41" t="str">
        <f>IF(ISBLANK('Control Entry'!J14),"",'Control Entry'!J14)</f>
        <v/>
      </c>
      <c r="G16" s="10"/>
      <c r="H16" s="35" t="s">
        <v>29</v>
      </c>
      <c r="L16" s="72"/>
      <c r="M16" s="72"/>
      <c r="N16" s="72"/>
      <c r="O16" s="72"/>
      <c r="P16" s="72"/>
      <c r="Q16" s="73"/>
      <c r="R16" s="73"/>
      <c r="S16" s="73"/>
      <c r="T16" s="73"/>
      <c r="U16" s="73"/>
    </row>
    <row r="17" spans="1:22" ht="36" customHeight="1" thickBot="1" x14ac:dyDescent="0.3">
      <c r="A17" s="42"/>
      <c r="B17" s="43">
        <f>Control_5 Open_time</f>
        <v>44408.494444444441</v>
      </c>
      <c r="C17" s="43">
        <f>Control_5 Close_time</f>
        <v>44408.804166666669</v>
      </c>
      <c r="D17" s="134"/>
      <c r="E17" s="144"/>
      <c r="F17" s="45" t="str">
        <f>IF(ISBLANK('Control Entry'!K14),"",'Control Entry'!K14)</f>
        <v/>
      </c>
      <c r="G17" s="11"/>
      <c r="H17" s="35" t="s">
        <v>29</v>
      </c>
    </row>
    <row r="18" spans="1:22" ht="36" customHeight="1" x14ac:dyDescent="0.25">
      <c r="A18" s="39"/>
      <c r="B18" s="40">
        <f>Control_6 Open_time</f>
        <v>44408.581944444442</v>
      </c>
      <c r="C18" s="40">
        <f>Control_6 Close_time</f>
        <v>44408.990277777775</v>
      </c>
      <c r="D18" s="46"/>
      <c r="E18" s="49" t="str">
        <f>IF(ISBLANK(Control_6 Establishment_1),"",Control_6 Establishment_1)</f>
        <v>Greendale Liquor Store</v>
      </c>
      <c r="F18" s="115" t="s">
        <v>114</v>
      </c>
      <c r="G18" s="10"/>
      <c r="H18" s="35" t="s">
        <v>29</v>
      </c>
    </row>
    <row r="19" spans="1:22" ht="36" customHeight="1" x14ac:dyDescent="0.25">
      <c r="A19" s="47">
        <f>IF(ISBLANK(Distance Control_6),"",Control_6 Distance)</f>
        <v>266.5</v>
      </c>
      <c r="B19" s="48">
        <f>Control_6 Open_time</f>
        <v>44408.581944444442</v>
      </c>
      <c r="C19" s="48">
        <f>Control_6 Close_time</f>
        <v>44408.990277777775</v>
      </c>
      <c r="D19" s="49" t="str">
        <f>IF(ISBLANK(Locale Control_6),"",Locale Control_6)</f>
        <v>Chilliwack</v>
      </c>
      <c r="E19" s="115" t="str">
        <f>IF(ISBLANK(Control_6 Establishment_2),"",Control_6 Establishment_2)</f>
        <v>Blue-green sticker on door</v>
      </c>
      <c r="F19" s="41" t="str">
        <f>IF(ISBLANK('Control Entry'!J15),"",'Control Entry'!J15)</f>
        <v/>
      </c>
      <c r="G19" s="10"/>
      <c r="H19" s="35" t="s">
        <v>29</v>
      </c>
    </row>
    <row r="20" spans="1:22" ht="36" customHeight="1" thickBot="1" x14ac:dyDescent="0.35">
      <c r="A20" s="42"/>
      <c r="B20" s="43">
        <f>Control_6 Open_time</f>
        <v>44408.581944444442</v>
      </c>
      <c r="C20" s="43">
        <f>Control_6 Close_time</f>
        <v>44408.990277777775</v>
      </c>
      <c r="D20" s="44"/>
      <c r="E20" s="45" t="str">
        <f>IF(ISBLANK(Control_6 Establishment_3),"",Control_6 Establishment_3)</f>
        <v/>
      </c>
      <c r="F20" s="45" t="str">
        <f>IF(ISBLANK('Control Entry'!K15),"",'Control Entry'!K15)</f>
        <v/>
      </c>
      <c r="G20" s="11"/>
      <c r="H20" s="35" t="s">
        <v>29</v>
      </c>
      <c r="J20" s="71" t="s">
        <v>45</v>
      </c>
      <c r="K20" s="71"/>
      <c r="L20" s="74"/>
      <c r="M20" s="74"/>
      <c r="N20" s="74"/>
      <c r="P20" s="24" t="s">
        <v>0</v>
      </c>
      <c r="Q20" s="24"/>
      <c r="S20" s="127">
        <f>'Control Entry'!B8</f>
        <v>0.25</v>
      </c>
      <c r="T20" s="127"/>
      <c r="U20" s="127"/>
    </row>
    <row r="21" spans="1:22" ht="40.9" customHeight="1" x14ac:dyDescent="0.3">
      <c r="A21" s="39"/>
      <c r="B21" s="40">
        <f>Control_7 Open_time</f>
        <v>44408.725694444445</v>
      </c>
      <c r="C21" s="40">
        <f>Control_7 Close_time</f>
        <v>44409.297222222223</v>
      </c>
      <c r="D21" s="132" t="str">
        <f>IF(ISBLANK(Locale Control_7),"",Locale Control_7)</f>
        <v>1st Ave &amp; English Bluff Rd Tsawwassen</v>
      </c>
      <c r="E21" s="49" t="str">
        <f>IF(ISBLANK(Control_7 Establishment_1),"",Control_7 Establishment_1)</f>
        <v xml:space="preserve">20ft before stop sign      </v>
      </c>
      <c r="F21" s="49" t="s">
        <v>116</v>
      </c>
      <c r="G21" s="10"/>
      <c r="H21" s="35" t="s">
        <v>29</v>
      </c>
      <c r="J21" s="71"/>
      <c r="K21" s="71"/>
      <c r="L21" s="69"/>
      <c r="M21" s="69"/>
      <c r="N21" s="69"/>
      <c r="P21" s="24"/>
      <c r="Q21" s="24"/>
      <c r="R21" s="29"/>
      <c r="S21" s="75"/>
      <c r="T21" s="75"/>
      <c r="U21" s="75"/>
      <c r="V21" s="36"/>
    </row>
    <row r="22" spans="1:22" ht="40.9" customHeight="1" thickBot="1" x14ac:dyDescent="0.35">
      <c r="A22" s="47">
        <f>IF(ISBLANK(Distance Control_7),"",Control_7 Distance)</f>
        <v>376.9</v>
      </c>
      <c r="B22" s="48">
        <f>Control_7 Open_time</f>
        <v>44408.725694444445</v>
      </c>
      <c r="C22" s="48">
        <f>Control_7 Close_time</f>
        <v>44409.297222222223</v>
      </c>
      <c r="D22" s="133"/>
      <c r="E22" s="115" t="str">
        <f>IF(ISBLANK(Control_7 Establishment_2),"",Control_7 Establishment_2)</f>
        <v>White and Blue Fire Hydrant</v>
      </c>
      <c r="F22" s="41" t="str">
        <f>IF(ISBLANK('Control Entry'!J16),"",'Control Entry'!J16)</f>
        <v/>
      </c>
      <c r="G22" s="10"/>
      <c r="H22" s="35" t="s">
        <v>29</v>
      </c>
      <c r="J22" s="70" t="s">
        <v>46</v>
      </c>
      <c r="K22" s="70"/>
      <c r="L22" s="74"/>
      <c r="M22" s="74"/>
      <c r="N22" s="74"/>
      <c r="O22" s="25"/>
      <c r="P22" s="24" t="s">
        <v>1</v>
      </c>
      <c r="Q22" s="24"/>
      <c r="R22" s="25"/>
      <c r="S22" s="76"/>
      <c r="T22" s="76"/>
      <c r="U22" s="76"/>
    </row>
    <row r="23" spans="1:22" ht="36" customHeight="1" thickBot="1" x14ac:dyDescent="0.35">
      <c r="A23" s="42"/>
      <c r="B23" s="43">
        <f>Control_7 Open_time</f>
        <v>44408.725694444445</v>
      </c>
      <c r="C23" s="43">
        <f>Control_7 Close_time</f>
        <v>44409.297222222223</v>
      </c>
      <c r="D23" s="134"/>
      <c r="E23" s="111" t="str">
        <f>IF(ISBLANK(Control_7 Establishment_3),"",Control_7 Establishment_3)</f>
        <v/>
      </c>
      <c r="F23" s="45" t="str">
        <f>IF(ISBLANK('Control Entry'!K16),"",'Control Entry'!K16)</f>
        <v/>
      </c>
      <c r="G23" s="11"/>
      <c r="H23" s="35" t="s">
        <v>29</v>
      </c>
      <c r="J23" s="70"/>
      <c r="K23" s="70"/>
      <c r="L23" s="69"/>
      <c r="M23" s="69"/>
      <c r="N23" s="69"/>
      <c r="O23" s="29"/>
      <c r="P23" s="68"/>
      <c r="Q23" s="68"/>
      <c r="R23" s="29"/>
      <c r="S23" s="29"/>
      <c r="T23" s="29"/>
      <c r="U23" s="29"/>
      <c r="V23" s="36"/>
    </row>
    <row r="24" spans="1:22" ht="36" customHeight="1" thickBot="1" x14ac:dyDescent="0.35">
      <c r="A24" s="39"/>
      <c r="B24" s="40">
        <f>Control_8 Open_time</f>
        <v>44408.747916666667</v>
      </c>
      <c r="C24" s="40">
        <f>Control_8 Close_time</f>
        <v>44409.344444444447</v>
      </c>
      <c r="D24" s="132" t="str">
        <f>IF(ISBLANK(Locale Control_8),"",Locale Control_8)</f>
        <v>Alaksen National Wildlife Area Westham Island</v>
      </c>
      <c r="E24" s="49" t="str">
        <f>IF(ISBLANK(Control_8 Establishment_1),"",Control_8 Establishment_1)</f>
        <v>Before gate on left</v>
      </c>
      <c r="F24" s="49" t="s">
        <v>117</v>
      </c>
      <c r="G24" s="10"/>
      <c r="H24" s="35" t="s">
        <v>29</v>
      </c>
      <c r="J24" s="18"/>
      <c r="K24" s="18"/>
      <c r="L24" s="18"/>
      <c r="M24" s="26"/>
      <c r="N24" s="26"/>
      <c r="O24" s="25"/>
      <c r="P24" s="24" t="s">
        <v>2</v>
      </c>
      <c r="Q24" s="24"/>
      <c r="R24" s="25"/>
      <c r="S24" s="26"/>
      <c r="T24" s="26"/>
      <c r="U24" s="26"/>
    </row>
    <row r="25" spans="1:22" ht="36" customHeight="1" x14ac:dyDescent="0.25">
      <c r="A25" s="47">
        <f>IF(ISBLANK(Distance Control_8),"",Control_8 Distance)</f>
        <v>393.9</v>
      </c>
      <c r="B25" s="48">
        <f>Control_8 Open_time</f>
        <v>44408.747916666667</v>
      </c>
      <c r="C25" s="48">
        <f>Control_8 Close_time</f>
        <v>44409.344444444447</v>
      </c>
      <c r="D25" s="133"/>
      <c r="E25" s="135" t="str">
        <f>IF(ISBLANK(Control_8 Establishment_2),"",Control_8 Establishment_2)</f>
        <v>Yellow pole with Phone/Intercom</v>
      </c>
      <c r="F25" s="41" t="str">
        <f>IF(ISBLANK('Control Entry'!J17),"",'Control Entry'!J17)</f>
        <v/>
      </c>
      <c r="G25" s="10"/>
      <c r="H25" s="35" t="s">
        <v>29</v>
      </c>
      <c r="J25" s="147" t="s">
        <v>17</v>
      </c>
      <c r="K25" s="147"/>
      <c r="L25" s="147"/>
      <c r="M25" s="147"/>
      <c r="N25" s="147"/>
      <c r="O25" s="62"/>
      <c r="P25" s="123"/>
      <c r="Q25" s="123"/>
      <c r="R25" s="62"/>
      <c r="S25" s="131"/>
      <c r="T25" s="131"/>
      <c r="U25" s="131"/>
      <c r="V25" s="131"/>
    </row>
    <row r="26" spans="1:22" ht="36" customHeight="1" thickBot="1" x14ac:dyDescent="0.3">
      <c r="A26" s="42"/>
      <c r="B26" s="43">
        <f>Control_8 Open_time</f>
        <v>44408.747916666667</v>
      </c>
      <c r="C26" s="43">
        <f>Control_8 Close_time</f>
        <v>44409.344444444447</v>
      </c>
      <c r="D26" s="134"/>
      <c r="E26" s="136"/>
      <c r="F26" s="45" t="str">
        <f>IF(ISBLANK('Control Entry'!K17),"",'Control Entry'!K17)</f>
        <v/>
      </c>
      <c r="G26" s="11"/>
      <c r="H26" s="35" t="s">
        <v>29</v>
      </c>
    </row>
    <row r="27" spans="1:22" ht="36" customHeight="1" x14ac:dyDescent="0.25">
      <c r="A27" s="39"/>
      <c r="B27" s="40">
        <f>Control_9 Open_time</f>
        <v>44408.82708333333</v>
      </c>
      <c r="C27" s="40">
        <f>Control_9 Close_time</f>
        <v>44409.503472222219</v>
      </c>
      <c r="D27" s="132" t="str">
        <f>IF(ISBLANK(Locale Control_9),"",Locale Control_9)</f>
        <v>Derby Reach Regional Park Heritage Area</v>
      </c>
      <c r="E27" s="49" t="str">
        <f>IF(ISBLANK(Control_9 Establishment_1),"",Control_9 Establishment_1)</f>
        <v>Entrance</v>
      </c>
      <c r="F27" s="141" t="s">
        <v>95</v>
      </c>
      <c r="G27" s="10"/>
      <c r="H27" s="35" t="s">
        <v>29</v>
      </c>
      <c r="K27" s="122" t="s">
        <v>57</v>
      </c>
      <c r="L27" s="123"/>
      <c r="M27" s="61" t="s">
        <v>58</v>
      </c>
      <c r="N27" s="123" t="s">
        <v>50</v>
      </c>
      <c r="O27" s="123"/>
      <c r="P27" s="123" t="s">
        <v>51</v>
      </c>
      <c r="Q27" s="123"/>
      <c r="R27" s="62" t="s">
        <v>52</v>
      </c>
      <c r="S27" s="131" t="s">
        <v>53</v>
      </c>
      <c r="T27" s="131"/>
      <c r="U27" s="131" t="s">
        <v>54</v>
      </c>
      <c r="V27" s="131"/>
    </row>
    <row r="28" spans="1:22" ht="36" customHeight="1" x14ac:dyDescent="0.25">
      <c r="A28" s="47">
        <f>IF(ISBLANK(Distance Control_9),"",Control_9 Distance)</f>
        <v>451.3</v>
      </c>
      <c r="B28" s="48">
        <f>Control_9 Open_time</f>
        <v>44408.82708333333</v>
      </c>
      <c r="C28" s="48">
        <f>Control_9 Close_time</f>
        <v>44409.503472222219</v>
      </c>
      <c r="D28" s="133"/>
      <c r="E28" s="49" t="str">
        <f>IF(ISBLANK(Control_9 Establishment_2),"",Control_9 Establishment_2)</f>
        <v>Back of Stop Sign</v>
      </c>
      <c r="F28" s="142"/>
      <c r="G28" s="10"/>
      <c r="H28" s="35" t="s">
        <v>29</v>
      </c>
    </row>
    <row r="29" spans="1:22" ht="36" customHeight="1" thickBot="1" x14ac:dyDescent="0.3">
      <c r="A29" s="42"/>
      <c r="B29" s="43">
        <f>Control_9 Open_time</f>
        <v>44408.82708333333</v>
      </c>
      <c r="C29" s="43">
        <f>Control_9 Close_time</f>
        <v>44409.503472222219</v>
      </c>
      <c r="D29" s="134"/>
      <c r="E29" s="111" t="str">
        <f>IF(ISBLANK(Control_9 Establishment_3),"",Control_9 Establishment_3)</f>
        <v>Yellow sticker</v>
      </c>
      <c r="F29" s="45" t="str">
        <f>IF(ISBLANK('Control Entry'!K18),"",'Control Entry'!K18)</f>
        <v/>
      </c>
      <c r="G29" s="11"/>
      <c r="H29" s="35" t="s">
        <v>29</v>
      </c>
      <c r="M29" s="145" t="s">
        <v>42</v>
      </c>
      <c r="N29" s="145"/>
      <c r="O29" s="145"/>
      <c r="P29" s="145"/>
      <c r="Q29" s="145"/>
      <c r="R29" s="145"/>
      <c r="S29" s="145"/>
      <c r="T29" s="145"/>
      <c r="U29" s="66"/>
    </row>
    <row r="30" spans="1:22" ht="42" customHeight="1" x14ac:dyDescent="0.25">
      <c r="A30" s="39"/>
      <c r="B30" s="40">
        <f>Control_10 Open_time</f>
        <v>44408.888888888891</v>
      </c>
      <c r="C30" s="40">
        <f>Control_10 Close_time</f>
        <v>44409.627083333333</v>
      </c>
      <c r="D30" s="112" t="str">
        <f>IF(ISBLANK(Locale Control_10),"",Locale Control_10)</f>
        <v>Sumas Mt Rd Abbotsford</v>
      </c>
      <c r="E30" s="49" t="str">
        <f>IF(ISBLANK(Control_10 Establishment_1),"",Control_10 Establishment_1)</f>
        <v>Pavement Ends Sign</v>
      </c>
      <c r="F30" s="49" t="s">
        <v>122</v>
      </c>
      <c r="G30" s="10"/>
      <c r="H30" s="35" t="s">
        <v>29</v>
      </c>
      <c r="M30" s="19"/>
      <c r="N30" s="27"/>
      <c r="O30" s="27"/>
      <c r="P30" s="28"/>
      <c r="Q30" s="27"/>
      <c r="R30" s="27"/>
      <c r="S30" s="27"/>
      <c r="T30" s="28"/>
      <c r="U30" s="29"/>
    </row>
    <row r="31" spans="1:22" ht="41.45" customHeight="1" x14ac:dyDescent="0.25">
      <c r="A31" s="47">
        <f>IF(ISBLANK(Distance Control_10),"",Control_10 Distance)</f>
        <v>495.8</v>
      </c>
      <c r="B31" s="48">
        <f>Control_10 Open_time</f>
        <v>44408.888888888891</v>
      </c>
      <c r="C31" s="48">
        <f>Control_10 Close_time</f>
        <v>44409.627083333333</v>
      </c>
      <c r="D31" s="113"/>
      <c r="E31" s="49" t="str">
        <f>IF(ISBLANK(Control_10 Establishment_2),"",Control_10 Establishment_2)</f>
        <v>Blue sticker on back of sign</v>
      </c>
      <c r="F31" s="41" t="str">
        <f>IF(ISBLANK('Control Entry'!J19),"",'Control Entry'!J19)</f>
        <v/>
      </c>
      <c r="G31" s="10"/>
      <c r="H31" s="35" t="s">
        <v>29</v>
      </c>
      <c r="M31" s="20"/>
      <c r="N31" s="29"/>
      <c r="O31" s="29"/>
      <c r="P31" s="30"/>
      <c r="Q31" s="29"/>
      <c r="R31" s="29"/>
      <c r="S31" s="29"/>
      <c r="T31" s="30"/>
      <c r="U31" s="29"/>
    </row>
    <row r="32" spans="1:22" ht="36" customHeight="1" thickBot="1" x14ac:dyDescent="0.35">
      <c r="A32" s="42"/>
      <c r="B32" s="43">
        <f>Control_10 Open_time</f>
        <v>44408.888888888891</v>
      </c>
      <c r="C32" s="43">
        <f>Control_10 Close_time</f>
        <v>44409.627083333333</v>
      </c>
      <c r="D32" s="44"/>
      <c r="E32" s="111" t="str">
        <f>IF(ISBLANK(Control_10 Establishment_3),"",Control_10 Establishment_3)</f>
        <v/>
      </c>
      <c r="F32" s="45" t="str">
        <f>IF(ISBLANK('Control Entry'!K19),"",'Control Entry'!K19)</f>
        <v/>
      </c>
      <c r="G32" s="11"/>
      <c r="H32" s="35" t="s">
        <v>29</v>
      </c>
      <c r="M32" s="65"/>
      <c r="N32" s="26"/>
      <c r="O32" s="26"/>
      <c r="P32" s="31"/>
      <c r="Q32" s="26"/>
      <c r="R32" s="26"/>
      <c r="S32" s="26"/>
      <c r="T32" s="31"/>
      <c r="U32" s="29"/>
    </row>
    <row r="33" spans="1:22" ht="36" customHeight="1" x14ac:dyDescent="0.3">
      <c r="A33" s="130" t="s">
        <v>43</v>
      </c>
      <c r="B33" s="130"/>
      <c r="C33" s="130"/>
      <c r="D33" s="130"/>
      <c r="E33" s="130"/>
      <c r="F33" s="130"/>
      <c r="G33" s="130"/>
      <c r="H33" s="50"/>
      <c r="I33" s="50"/>
      <c r="N33" s="146"/>
      <c r="O33" s="146"/>
      <c r="P33" s="146"/>
      <c r="Q33" s="146"/>
      <c r="R33" s="146"/>
      <c r="S33" s="146"/>
      <c r="T33" s="146"/>
      <c r="U33" s="146"/>
      <c r="V33" s="60"/>
    </row>
    <row r="34" spans="1:22" ht="36" customHeight="1" x14ac:dyDescent="0.3">
      <c r="A34"/>
      <c r="O34" s="58"/>
      <c r="P34" s="58"/>
      <c r="Q34" s="58"/>
      <c r="R34" s="57"/>
    </row>
    <row r="35" spans="1:22" ht="36" customHeight="1" x14ac:dyDescent="0.2">
      <c r="A35"/>
      <c r="N35" s="145"/>
      <c r="O35" s="145"/>
      <c r="P35" s="145"/>
      <c r="Q35" s="145"/>
      <c r="R35" s="145"/>
      <c r="S35" s="145"/>
      <c r="T35" s="145"/>
      <c r="U35" s="145"/>
    </row>
    <row r="36" spans="1:22" ht="36" customHeight="1" x14ac:dyDescent="0.2">
      <c r="A36"/>
      <c r="N36" s="36"/>
      <c r="O36" s="29"/>
      <c r="P36" s="29"/>
      <c r="Q36" s="29"/>
      <c r="R36" s="29"/>
      <c r="S36" s="29"/>
      <c r="T36" s="29"/>
      <c r="U36" s="29"/>
    </row>
    <row r="37" spans="1:22" ht="36" customHeight="1" x14ac:dyDescent="0.2">
      <c r="A37"/>
      <c r="N37" s="36"/>
      <c r="O37" s="29"/>
      <c r="P37" s="29"/>
      <c r="Q37" s="29"/>
      <c r="R37" s="29"/>
      <c r="S37" s="29"/>
      <c r="T37" s="29"/>
      <c r="U37" s="29"/>
    </row>
    <row r="38" spans="1:22" ht="36" customHeight="1" x14ac:dyDescent="0.3">
      <c r="A38"/>
      <c r="N38" s="67"/>
      <c r="O38" s="29"/>
      <c r="P38" s="29"/>
      <c r="Q38" s="29"/>
      <c r="R38" s="29"/>
      <c r="S38" s="29"/>
      <c r="T38" s="29"/>
      <c r="U38" s="29"/>
    </row>
    <row r="39" spans="1:22" ht="36" customHeight="1" x14ac:dyDescent="0.2">
      <c r="A39"/>
    </row>
    <row r="40" spans="1:22" ht="36" customHeight="1" x14ac:dyDescent="0.2">
      <c r="A40"/>
    </row>
  </sheetData>
  <mergeCells count="35">
    <mergeCell ref="E16:E17"/>
    <mergeCell ref="D21:D23"/>
    <mergeCell ref="D12:D14"/>
    <mergeCell ref="N35:U35"/>
    <mergeCell ref="M29:T29"/>
    <mergeCell ref="N27:O27"/>
    <mergeCell ref="P27:Q27"/>
    <mergeCell ref="S27:T27"/>
    <mergeCell ref="U27:V27"/>
    <mergeCell ref="N33:U33"/>
    <mergeCell ref="U25:V25"/>
    <mergeCell ref="J25:N25"/>
    <mergeCell ref="A1:G1"/>
    <mergeCell ref="A33:G33"/>
    <mergeCell ref="M4:T4"/>
    <mergeCell ref="P25:Q25"/>
    <mergeCell ref="S25:T25"/>
    <mergeCell ref="D9:D11"/>
    <mergeCell ref="D24:D26"/>
    <mergeCell ref="E25:E26"/>
    <mergeCell ref="D27:D29"/>
    <mergeCell ref="D3:D5"/>
    <mergeCell ref="E3:E4"/>
    <mergeCell ref="N3:S3"/>
    <mergeCell ref="R5:U5"/>
    <mergeCell ref="F27:F28"/>
    <mergeCell ref="D15:D17"/>
    <mergeCell ref="K2:U2"/>
    <mergeCell ref="N5:O5"/>
    <mergeCell ref="K27:L27"/>
    <mergeCell ref="L6:U6"/>
    <mergeCell ref="T8:U8"/>
    <mergeCell ref="L8:Q8"/>
    <mergeCell ref="S20:U20"/>
    <mergeCell ref="L15:U15"/>
  </mergeCells>
  <phoneticPr fontId="16" type="noConversion"/>
  <pageMargins left="0.19685039370078741" right="0.19685039370078741" top="0.19685039370078741" bottom="0.19685039370078741" header="0.19685039370078741" footer="0.11811023622047245"/>
  <pageSetup scale="49" orientation="landscape" horizontalDpi="4294967292" verticalDpi="4294967292" r:id="rId1"/>
  <drawing r:id="rId2"/>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0"/>
  <sheetViews>
    <sheetView showGridLines="0" zoomScale="92" zoomScaleNormal="92" zoomScalePageLayoutView="92" workbookViewId="0">
      <selection activeCell="G11" sqref="G11"/>
    </sheetView>
  </sheetViews>
  <sheetFormatPr defaultColWidth="8.85546875" defaultRowHeight="12.75" x14ac:dyDescent="0.2"/>
  <cols>
    <col min="1" max="1" width="8.42578125" style="1" customWidth="1"/>
    <col min="2" max="2" width="12.7109375" customWidth="1"/>
    <col min="3" max="3" width="11.7109375" customWidth="1"/>
    <col min="4" max="4" width="18" customWidth="1"/>
    <col min="5" max="5" width="23.85546875" customWidth="1"/>
    <col min="6" max="6" width="42" customWidth="1"/>
    <col min="7" max="7" width="13.42578125" customWidth="1"/>
    <col min="8" max="8" width="8" style="36" customWidth="1"/>
    <col min="9" max="9" width="12" customWidth="1"/>
    <col min="18" max="19" width="8.85546875" customWidth="1"/>
  </cols>
  <sheetData>
    <row r="1" spans="1:22" ht="21" thickBot="1" x14ac:dyDescent="0.25">
      <c r="A1" s="129" t="s">
        <v>44</v>
      </c>
      <c r="B1" s="129"/>
      <c r="C1" s="129"/>
      <c r="D1" s="129"/>
      <c r="E1" s="129"/>
      <c r="F1" s="129"/>
      <c r="G1" s="129"/>
      <c r="H1" s="35" t="s">
        <v>29</v>
      </c>
    </row>
    <row r="2" spans="1:22" ht="33.75" customHeight="1" thickBot="1" x14ac:dyDescent="0.3">
      <c r="A2" s="92" t="s">
        <v>30</v>
      </c>
      <c r="B2" s="9" t="s">
        <v>3</v>
      </c>
      <c r="C2" s="9" t="s">
        <v>4</v>
      </c>
      <c r="D2" s="9" t="s">
        <v>25</v>
      </c>
      <c r="E2" s="9" t="s">
        <v>31</v>
      </c>
      <c r="F2" s="9" t="s">
        <v>60</v>
      </c>
      <c r="G2" s="92" t="s">
        <v>32</v>
      </c>
      <c r="H2" s="35" t="s">
        <v>29</v>
      </c>
      <c r="K2" s="143" t="s">
        <v>56</v>
      </c>
      <c r="L2" s="143"/>
      <c r="M2" s="143"/>
      <c r="N2" s="143"/>
      <c r="O2" s="143"/>
      <c r="P2" s="143"/>
      <c r="Q2" s="143"/>
      <c r="R2" s="143"/>
      <c r="S2" s="143"/>
      <c r="T2" s="143"/>
      <c r="U2" s="143"/>
    </row>
    <row r="3" spans="1:22" ht="36" customHeight="1" x14ac:dyDescent="0.55000000000000004">
      <c r="A3" s="39"/>
      <c r="B3" s="40">
        <f>'Control Entry'!N23</f>
        <v>44408.909722222219</v>
      </c>
      <c r="C3" s="40">
        <f>'Control Entry'!O23</f>
        <v>44409.669444444444</v>
      </c>
      <c r="D3" s="132" t="str">
        <f>IF(ISBLANK('Control Entry'!E23),"",'Control Entry'!E23)</f>
        <v>Lonzo Rd &amp; Vedder Way Abbotsford</v>
      </c>
      <c r="E3" s="112" t="str">
        <f>IF(ISBLANK('Control Entry'!F23),"",'Control Entry'!F23)</f>
        <v>50 ft past corner</v>
      </c>
      <c r="F3" s="49" t="s">
        <v>116</v>
      </c>
      <c r="G3" s="10"/>
      <c r="H3" s="35" t="s">
        <v>29</v>
      </c>
      <c r="K3" s="16"/>
      <c r="N3" s="138" t="s">
        <v>62</v>
      </c>
      <c r="O3" s="138"/>
      <c r="P3" s="138"/>
      <c r="Q3" s="138"/>
      <c r="R3" s="138"/>
      <c r="S3" s="138"/>
      <c r="T3" s="51"/>
      <c r="U3" s="51"/>
    </row>
    <row r="4" spans="1:22" ht="40.15" customHeight="1" x14ac:dyDescent="0.25">
      <c r="A4" s="47">
        <f>IF(ISBLANK('Control Entry'!D23),"",'Control Entry'!D23)</f>
        <v>511.1</v>
      </c>
      <c r="B4" s="48">
        <f>'Control Entry'!N23</f>
        <v>44408.909722222219</v>
      </c>
      <c r="C4" s="48">
        <f>'Control Entry'!O23</f>
        <v>44409.669444444444</v>
      </c>
      <c r="D4" s="135"/>
      <c r="E4" s="115" t="str">
        <f>IF(ISBLANK('Control Entry'!G23),"",'Control Entry'!G23)</f>
        <v>White and blue fire hydrant</v>
      </c>
      <c r="F4" s="41" t="str">
        <f>IF(ISBLANK('Control Entry'!J23),"",'Control Entry'!J23)</f>
        <v/>
      </c>
      <c r="G4" s="10"/>
      <c r="H4" s="35" t="s">
        <v>29</v>
      </c>
      <c r="K4" s="16"/>
      <c r="M4" s="122" t="str">
        <f>IF(ISBLANK(brevet),"",brevet&amp;" km Randonnée")</f>
        <v>600 km Randonnée</v>
      </c>
      <c r="N4" s="122"/>
      <c r="O4" s="122"/>
      <c r="P4" s="122"/>
      <c r="Q4" s="122"/>
      <c r="R4" s="122"/>
      <c r="S4" s="122"/>
      <c r="T4" s="122"/>
      <c r="U4" s="52"/>
    </row>
    <row r="5" spans="1:22" ht="36" customHeight="1" thickBot="1" x14ac:dyDescent="0.35">
      <c r="A5" s="42"/>
      <c r="B5" s="43">
        <f>'Control Entry'!N23</f>
        <v>44408.909722222219</v>
      </c>
      <c r="C5" s="43">
        <f>'Control Entry'!O23</f>
        <v>44409.669444444444</v>
      </c>
      <c r="D5" s="149"/>
      <c r="E5" s="114"/>
      <c r="F5" s="45" t="str">
        <f>IF(ISBLANK('Control Entry'!K23),"",'Control Entry'!K23)</f>
        <v/>
      </c>
      <c r="G5" s="11"/>
      <c r="H5" s="35" t="s">
        <v>29</v>
      </c>
      <c r="K5" s="16"/>
      <c r="M5" s="17"/>
      <c r="N5" s="121" t="s">
        <v>48</v>
      </c>
      <c r="O5" s="121"/>
      <c r="P5" s="79">
        <f>IF(ISBLANK(Brevet_Number),"",Brevet_Number)</f>
        <v>5079</v>
      </c>
      <c r="Q5" s="80"/>
      <c r="R5" s="140">
        <f>IF(ISBLANK('Control Entry'!$B5),"",'Control Entry'!$B5)</f>
        <v>44408</v>
      </c>
      <c r="S5" s="140"/>
      <c r="T5" s="140"/>
      <c r="U5" s="140"/>
      <c r="V5" s="53"/>
    </row>
    <row r="6" spans="1:22" ht="36" customHeight="1" x14ac:dyDescent="0.3">
      <c r="A6" s="39"/>
      <c r="B6" s="40">
        <f>'Control Entry'!N24</f>
        <v>44408.946527777778</v>
      </c>
      <c r="C6" s="40">
        <f>'Control Entry'!O24</f>
        <v>44409.743750000001</v>
      </c>
      <c r="D6" s="132" t="str">
        <f>IF(ISBLANK('Control Entry'!E24),"",'Control Entry'!E24)</f>
        <v>Lefeuvre Rd &amp; River Rd Abbotsford</v>
      </c>
      <c r="E6" s="115" t="str">
        <f>IF(ISBLANK('Control Entry'!F24),"",'Control Entry'!F24)</f>
        <v>Back of stop sign</v>
      </c>
      <c r="F6" s="115" t="s">
        <v>95</v>
      </c>
      <c r="G6" s="10"/>
      <c r="H6" s="35" t="s">
        <v>29</v>
      </c>
      <c r="K6" s="16"/>
      <c r="L6" s="124" t="str">
        <f>IF(ISBLANK(Brevet_Description),"",Brevet_Description)</f>
        <v>Tsawwassen-Tsawwassen-Tsawwassen</v>
      </c>
      <c r="M6" s="124"/>
      <c r="N6" s="124"/>
      <c r="O6" s="124"/>
      <c r="P6" s="124"/>
      <c r="Q6" s="124"/>
      <c r="R6" s="124"/>
      <c r="S6" s="124"/>
      <c r="T6" s="124"/>
      <c r="U6" s="124"/>
    </row>
    <row r="7" spans="1:22" ht="36" customHeight="1" x14ac:dyDescent="0.25">
      <c r="A7" s="47">
        <f>IF(ISBLANK('Control Entry'!D24),"",'Control Entry'!D24)</f>
        <v>537.70000000000005</v>
      </c>
      <c r="B7" s="48">
        <f>'Control Entry'!N24</f>
        <v>44408.946527777778</v>
      </c>
      <c r="C7" s="48">
        <f>'Control Entry'!O24</f>
        <v>44409.743750000001</v>
      </c>
      <c r="D7" s="133"/>
      <c r="E7" s="115" t="str">
        <f>IF(ISBLANK('Control Entry'!G24),"",'Control Entry'!G24)</f>
        <v>Yellow sticker</v>
      </c>
      <c r="F7" s="41" t="str">
        <f>IF(ISBLANK('Control Entry'!J24),"",'Control Entry'!J24)</f>
        <v/>
      </c>
      <c r="G7" s="10"/>
      <c r="H7" s="35" t="s">
        <v>29</v>
      </c>
    </row>
    <row r="8" spans="1:22" ht="36" customHeight="1" thickBot="1" x14ac:dyDescent="0.35">
      <c r="A8" s="42"/>
      <c r="B8" s="43">
        <f>'Control Entry'!N24</f>
        <v>44408.946527777778</v>
      </c>
      <c r="C8" s="43">
        <f>'Control Entry'!O24</f>
        <v>44409.743750000001</v>
      </c>
      <c r="D8" s="44"/>
      <c r="E8" s="45" t="str">
        <f>IF(ISBLANK('Control Entry'!H24),"",'Control Entry'!H24)</f>
        <v/>
      </c>
      <c r="F8" s="45" t="str">
        <f>IF(ISBLANK('Control Entry'!K24),"",'Control Entry'!K24)</f>
        <v/>
      </c>
      <c r="G8" s="11"/>
      <c r="H8" s="35" t="s">
        <v>29</v>
      </c>
      <c r="J8" s="17" t="s">
        <v>34</v>
      </c>
      <c r="L8" s="126" t="str">
        <f>IF(ISBLANK('Control Card #1'!L8:Q8),"",'Control Card #1'!L8:Q8)</f>
        <v/>
      </c>
      <c r="M8" s="126"/>
      <c r="N8" s="126"/>
      <c r="O8" s="126"/>
      <c r="P8" s="126"/>
      <c r="Q8" s="126"/>
      <c r="R8" s="36"/>
      <c r="S8" s="54" t="s">
        <v>47</v>
      </c>
      <c r="T8" s="148" t="str">
        <f>IF(ISBLANK('Control Card #1'!T8:U8),"",'Control Card #1'!T8:U8)</f>
        <v/>
      </c>
      <c r="U8" s="148"/>
    </row>
    <row r="9" spans="1:22" ht="36" customHeight="1" x14ac:dyDescent="0.25">
      <c r="A9" s="39"/>
      <c r="B9" s="40">
        <f>'Control Entry'!N25</f>
        <v>44409.035416666666</v>
      </c>
      <c r="C9" s="40">
        <f>'Control Entry'!O25</f>
        <v>44409.916666666664</v>
      </c>
      <c r="D9" s="132" t="str">
        <f>IF(ISBLANK('Control Entry'!E25),"",'Control Entry'!E25)</f>
        <v xml:space="preserve"> 56 St &amp; driveway to McDonalds Tsawwassen</v>
      </c>
      <c r="E9" s="49" t="str">
        <f>IF(ISBLANK('Control Entry'!F25),"",'Control Entry'!F25)</f>
        <v>NW corner</v>
      </c>
      <c r="F9" s="115" t="s">
        <v>126</v>
      </c>
      <c r="G9" s="10"/>
      <c r="H9" s="35" t="s">
        <v>29</v>
      </c>
    </row>
    <row r="10" spans="1:22" ht="36" customHeight="1" x14ac:dyDescent="0.25">
      <c r="A10" s="47">
        <f>IF(ISBLANK('Control Entry'!D25),"",'Control Entry'!D25)</f>
        <v>601.20000000000005</v>
      </c>
      <c r="B10" s="48">
        <f>'Control Entry'!N25</f>
        <v>44409.035416666666</v>
      </c>
      <c r="C10" s="48">
        <f>'Control Entry'!O25</f>
        <v>44409.916666666664</v>
      </c>
      <c r="D10" s="133"/>
      <c r="E10" s="115" t="str">
        <f>IF(ISBLANK('Control Entry'!G25),"",'Control Entry'!G25)</f>
        <v>Red fire hydrant</v>
      </c>
      <c r="F10" s="41" t="str">
        <f>IF(ISBLANK('Control Entry'!J25),"",'Control Entry'!J25)</f>
        <v/>
      </c>
      <c r="G10" s="10"/>
      <c r="H10" s="35" t="s">
        <v>29</v>
      </c>
    </row>
    <row r="11" spans="1:22" ht="36" customHeight="1" thickBot="1" x14ac:dyDescent="0.3">
      <c r="A11" s="42"/>
      <c r="B11" s="43">
        <f>'Control Entry'!N25</f>
        <v>44409.035416666666</v>
      </c>
      <c r="C11" s="43">
        <f>'Control Entry'!O25</f>
        <v>44409.916666666664</v>
      </c>
      <c r="D11" s="134"/>
      <c r="E11" s="45" t="str">
        <f>IF(ISBLANK('Control Entry'!H25),"",'Control Entry'!H25)</f>
        <v/>
      </c>
      <c r="F11" s="45" t="str">
        <f>IF(ISBLANK('Control Entry'!K25),"",'Control Entry'!K25)</f>
        <v/>
      </c>
      <c r="G11" s="11"/>
      <c r="H11" s="35" t="s">
        <v>29</v>
      </c>
    </row>
    <row r="12" spans="1:22" ht="36" customHeight="1" x14ac:dyDescent="0.25">
      <c r="A12" s="39"/>
      <c r="B12" s="40" t="str">
        <f>'Control Entry'!N26</f>
        <v/>
      </c>
      <c r="C12" s="40" t="str">
        <f>'Control Entry'!O26</f>
        <v/>
      </c>
      <c r="D12" s="132" t="str">
        <f>IF(ISBLANK('Control Entry'!E26),"",'Control Entry'!E26)</f>
        <v/>
      </c>
      <c r="E12" s="49" t="str">
        <f>IF(ISBLANK('Control Entry'!F26),"",'Control Entry'!F26)</f>
        <v/>
      </c>
      <c r="F12" s="49"/>
      <c r="G12" s="10"/>
      <c r="H12" s="35" t="s">
        <v>29</v>
      </c>
    </row>
    <row r="13" spans="1:22" ht="36" customHeight="1" x14ac:dyDescent="0.25">
      <c r="A13" s="47" t="str">
        <f>IF(ISBLANK('Control Entry'!D26),"",'Control Entry'!D26)</f>
        <v/>
      </c>
      <c r="B13" s="48" t="str">
        <f>'Control Entry'!N26</f>
        <v/>
      </c>
      <c r="C13" s="48" t="str">
        <f>'Control Entry'!O26</f>
        <v/>
      </c>
      <c r="D13" s="133"/>
      <c r="E13" s="49" t="str">
        <f>IF(ISBLANK('Control Entry'!G26),"",'Control Entry'!G26)</f>
        <v/>
      </c>
      <c r="F13" s="41" t="str">
        <f>IF(ISBLANK('Control Entry'!J26),"",'Control Entry'!J26)</f>
        <v/>
      </c>
      <c r="G13" s="10"/>
      <c r="H13" s="35" t="s">
        <v>29</v>
      </c>
    </row>
    <row r="14" spans="1:22" ht="36" customHeight="1" thickBot="1" x14ac:dyDescent="0.3">
      <c r="A14" s="42"/>
      <c r="B14" s="43" t="str">
        <f>'Control Entry'!N26</f>
        <v/>
      </c>
      <c r="C14" s="43" t="str">
        <f>'Control Entry'!O26</f>
        <v/>
      </c>
      <c r="D14" s="134"/>
      <c r="E14" s="111" t="str">
        <f>IF(ISBLANK('Control Entry'!H26),"",'Control Entry'!H26)</f>
        <v/>
      </c>
      <c r="F14" s="45" t="str">
        <f>IF(ISBLANK('Control Entry'!K26),"",'Control Entry'!K26)</f>
        <v/>
      </c>
      <c r="G14" s="11"/>
      <c r="H14" s="35" t="s">
        <v>29</v>
      </c>
    </row>
    <row r="15" spans="1:22" ht="36" customHeight="1" x14ac:dyDescent="0.25">
      <c r="A15" s="39"/>
      <c r="B15" s="40" t="str">
        <f>'Control Entry'!N27</f>
        <v/>
      </c>
      <c r="C15" s="40" t="str">
        <f>'Control Entry'!O27</f>
        <v/>
      </c>
      <c r="D15" s="46"/>
      <c r="E15" s="41" t="str">
        <f>IF(ISBLANK('Control Entry'!F27),"",'Control Entry'!F27)</f>
        <v/>
      </c>
      <c r="F15" s="41" t="str">
        <f>IF(ISBLANK('Control Entry'!I27),"",'Control Entry'!I27)</f>
        <v/>
      </c>
      <c r="G15" s="10"/>
      <c r="H15" s="35" t="s">
        <v>29</v>
      </c>
    </row>
    <row r="16" spans="1:22" ht="36" customHeight="1" x14ac:dyDescent="0.25">
      <c r="A16" s="47" t="str">
        <f>IF(ISBLANK('Control Entry'!D27),"",'Control Entry'!D27)</f>
        <v/>
      </c>
      <c r="B16" s="48" t="str">
        <f>'Control Entry'!N27</f>
        <v/>
      </c>
      <c r="C16" s="48" t="str">
        <f>'Control Entry'!O27</f>
        <v/>
      </c>
      <c r="D16" s="49" t="str">
        <f>IF(ISBLANK('Control Entry'!E27),"",'Control Entry'!E27)</f>
        <v/>
      </c>
      <c r="E16" s="41" t="str">
        <f>IF(ISBLANK('Control Entry'!G27),"",'Control Entry'!G27)</f>
        <v/>
      </c>
      <c r="F16" s="41" t="str">
        <f>IF(ISBLANK('Control Entry'!J27),"",'Control Entry'!J27)</f>
        <v/>
      </c>
      <c r="G16" s="10"/>
      <c r="H16" s="35" t="s">
        <v>29</v>
      </c>
    </row>
    <row r="17" spans="1:21" ht="36" customHeight="1" thickBot="1" x14ac:dyDescent="0.3">
      <c r="A17" s="42"/>
      <c r="B17" s="43" t="str">
        <f>'Control Entry'!N27</f>
        <v/>
      </c>
      <c r="C17" s="43" t="str">
        <f>'Control Entry'!O27</f>
        <v/>
      </c>
      <c r="D17" s="44"/>
      <c r="E17" s="45" t="str">
        <f>IF(ISBLANK('Control Entry'!H27),"",'Control Entry'!H27)</f>
        <v/>
      </c>
      <c r="F17" s="45" t="str">
        <f>IF(ISBLANK('Control Entry'!K27),"",'Control Entry'!K27)</f>
        <v/>
      </c>
      <c r="G17" s="11"/>
      <c r="H17" s="35" t="s">
        <v>29</v>
      </c>
    </row>
    <row r="18" spans="1:21" ht="36" customHeight="1" thickBot="1" x14ac:dyDescent="0.3">
      <c r="A18" s="39"/>
      <c r="B18" s="40" t="str">
        <f>'Control Entry'!N28</f>
        <v/>
      </c>
      <c r="C18" s="40" t="str">
        <f>'Control Entry'!O28</f>
        <v/>
      </c>
      <c r="D18" s="46"/>
      <c r="E18" s="41" t="str">
        <f>IF(ISBLANK('Control Entry'!F28),"",'Control Entry'!F28)</f>
        <v/>
      </c>
      <c r="F18" s="41" t="str">
        <f>IF(ISBLANK('Control Entry'!I28),"",'Control Entry'!I28)</f>
        <v/>
      </c>
      <c r="G18" s="10"/>
      <c r="H18" s="35" t="s">
        <v>29</v>
      </c>
      <c r="N18" s="151"/>
      <c r="O18" s="151"/>
      <c r="P18" s="151"/>
      <c r="Q18" s="151"/>
      <c r="R18" s="151"/>
      <c r="S18" s="151"/>
    </row>
    <row r="19" spans="1:21" ht="36" customHeight="1" x14ac:dyDescent="0.25">
      <c r="A19" s="47" t="str">
        <f>IF(ISBLANK('Control Entry'!D28),"",'Control Entry'!D28)</f>
        <v/>
      </c>
      <c r="B19" s="48" t="str">
        <f>'Control Entry'!N28</f>
        <v/>
      </c>
      <c r="C19" s="48" t="str">
        <f>'Control Entry'!O28</f>
        <v/>
      </c>
      <c r="D19" s="49" t="str">
        <f>IF(ISBLANK('Control Entry'!E28),"",'Control Entry'!E28)</f>
        <v/>
      </c>
      <c r="E19" s="41" t="str">
        <f>IF(ISBLANK('Control Entry'!G28),"",'Control Entry'!G28)</f>
        <v/>
      </c>
      <c r="F19" s="41" t="str">
        <f>IF(ISBLANK('Control Entry'!J28),"",'Control Entry'!J28)</f>
        <v/>
      </c>
      <c r="G19" s="10"/>
      <c r="H19" s="35" t="s">
        <v>29</v>
      </c>
      <c r="N19" s="147" t="s">
        <v>17</v>
      </c>
      <c r="O19" s="147"/>
      <c r="P19" s="147"/>
      <c r="Q19" s="147"/>
      <c r="R19" s="147"/>
      <c r="S19" s="147"/>
    </row>
    <row r="20" spans="1:21" ht="36" customHeight="1" thickBot="1" x14ac:dyDescent="0.3">
      <c r="A20" s="42"/>
      <c r="B20" s="43" t="str">
        <f>'Control Entry'!N28</f>
        <v/>
      </c>
      <c r="C20" s="43" t="str">
        <f>'Control Entry'!O28</f>
        <v/>
      </c>
      <c r="D20" s="44"/>
      <c r="E20" s="45" t="str">
        <f>IF(ISBLANK('Control Entry'!H28),"",'Control Entry'!H28)</f>
        <v/>
      </c>
      <c r="F20" s="45" t="str">
        <f>IF(ISBLANK('Control Entry'!K28),"",'Control Entry'!K28)</f>
        <v/>
      </c>
      <c r="G20" s="11"/>
      <c r="H20" s="35" t="s">
        <v>29</v>
      </c>
    </row>
    <row r="21" spans="1:21" ht="36" customHeight="1" x14ac:dyDescent="0.3">
      <c r="A21" s="39"/>
      <c r="B21" s="40" t="str">
        <f>'Control Entry'!N29</f>
        <v/>
      </c>
      <c r="C21" s="40" t="str">
        <f>'Control Entry'!O29</f>
        <v/>
      </c>
      <c r="D21" s="46"/>
      <c r="E21" s="41" t="str">
        <f>IF(ISBLANK('Control Entry'!F29),"",'Control Entry'!F29)</f>
        <v/>
      </c>
      <c r="F21" s="41" t="str">
        <f>IF(ISBLANK('Control Entry'!I29),"",'Control Entry'!I29)</f>
        <v/>
      </c>
      <c r="G21" s="10"/>
      <c r="H21" s="35" t="s">
        <v>29</v>
      </c>
      <c r="L21" s="150" t="s">
        <v>63</v>
      </c>
      <c r="M21" s="150"/>
      <c r="N21" s="150"/>
      <c r="O21" s="150"/>
      <c r="P21" s="150"/>
      <c r="Q21" s="150"/>
      <c r="R21" s="150"/>
      <c r="S21" s="150"/>
      <c r="T21" s="150"/>
      <c r="U21" s="150"/>
    </row>
    <row r="22" spans="1:21" ht="36" customHeight="1" x14ac:dyDescent="0.25">
      <c r="A22" s="47" t="str">
        <f>IF(ISBLANK('Control Entry'!D29),"",'Control Entry'!D29)</f>
        <v/>
      </c>
      <c r="B22" s="48" t="str">
        <f>'Control Entry'!N29</f>
        <v/>
      </c>
      <c r="C22" s="48" t="str">
        <f>'Control Entry'!O29</f>
        <v/>
      </c>
      <c r="D22" s="49" t="str">
        <f>IF(ISBLANK('Control Entry'!E29),"",'Control Entry'!E29)</f>
        <v/>
      </c>
      <c r="E22" s="41" t="str">
        <f>IF(ISBLANK('Control Entry'!G29),"",'Control Entry'!G29)</f>
        <v/>
      </c>
      <c r="F22" s="41" t="str">
        <f>IF(ISBLANK('Control Entry'!J29),"",'Control Entry'!J29)</f>
        <v/>
      </c>
      <c r="G22" s="10"/>
      <c r="H22" s="35" t="s">
        <v>29</v>
      </c>
    </row>
    <row r="23" spans="1:21" ht="36" customHeight="1" thickBot="1" x14ac:dyDescent="0.3">
      <c r="A23" s="42"/>
      <c r="B23" s="43" t="str">
        <f>'Control Entry'!N29</f>
        <v/>
      </c>
      <c r="C23" s="43" t="str">
        <f>'Control Entry'!O29</f>
        <v/>
      </c>
      <c r="D23" s="44"/>
      <c r="E23" s="45" t="str">
        <f>IF(ISBLANK('Control Entry'!H29),"",'Control Entry'!H29)</f>
        <v/>
      </c>
      <c r="F23" s="45" t="str">
        <f>IF(ISBLANK('Control Entry'!K29),"",'Control Entry'!K29)</f>
        <v/>
      </c>
      <c r="G23" s="11"/>
      <c r="H23" s="35" t="s">
        <v>29</v>
      </c>
    </row>
    <row r="24" spans="1:21" ht="36" customHeight="1" x14ac:dyDescent="0.25">
      <c r="A24" s="39"/>
      <c r="B24" s="40" t="str">
        <f>'Control Entry'!N30</f>
        <v/>
      </c>
      <c r="C24" s="40" t="str">
        <f>'Control Entry'!O30</f>
        <v/>
      </c>
      <c r="D24" s="46"/>
      <c r="E24" s="41" t="str">
        <f>IF(ISBLANK('Control Entry'!F30),"",'Control Entry'!F30)</f>
        <v/>
      </c>
      <c r="F24" s="41" t="str">
        <f>IF(ISBLANK('Control Entry'!I30),"",'Control Entry'!I30)</f>
        <v/>
      </c>
      <c r="G24" s="10"/>
      <c r="H24" s="35" t="s">
        <v>29</v>
      </c>
    </row>
    <row r="25" spans="1:21" ht="36" customHeight="1" x14ac:dyDescent="0.25">
      <c r="A25" s="47" t="str">
        <f>IF(ISBLANK('Control Entry'!D30),"",'Control Entry'!D30)</f>
        <v/>
      </c>
      <c r="B25" s="48" t="str">
        <f>'Control Entry'!N30</f>
        <v/>
      </c>
      <c r="C25" s="48" t="str">
        <f>'Control Entry'!O30</f>
        <v/>
      </c>
      <c r="D25" s="49" t="str">
        <f>IF(ISBLANK('Control Entry'!E30),"",'Control Entry'!E30)</f>
        <v/>
      </c>
      <c r="E25" s="41" t="str">
        <f>IF(ISBLANK('Control Entry'!G30),"",'Control Entry'!G30)</f>
        <v/>
      </c>
      <c r="F25" s="41" t="str">
        <f>IF(ISBLANK('Control Entry'!J30),"",'Control Entry'!J30)</f>
        <v/>
      </c>
      <c r="G25" s="10"/>
      <c r="H25" s="35" t="s">
        <v>29</v>
      </c>
    </row>
    <row r="26" spans="1:21" ht="36" customHeight="1" thickBot="1" x14ac:dyDescent="0.3">
      <c r="A26" s="42"/>
      <c r="B26" s="43" t="str">
        <f>'Control Entry'!N30</f>
        <v/>
      </c>
      <c r="C26" s="43" t="str">
        <f>'Control Entry'!O30</f>
        <v/>
      </c>
      <c r="D26" s="44"/>
      <c r="E26" s="45" t="str">
        <f>IF(ISBLANK('Control Entry'!H30),"",'Control Entry'!H30)</f>
        <v/>
      </c>
      <c r="F26" s="45" t="str">
        <f>IF(ISBLANK('Control Entry'!K30),"",'Control Entry'!K30)</f>
        <v/>
      </c>
      <c r="G26" s="11"/>
      <c r="H26" s="35" t="s">
        <v>29</v>
      </c>
    </row>
    <row r="27" spans="1:21" ht="36" customHeight="1" x14ac:dyDescent="0.25">
      <c r="A27" s="39"/>
      <c r="B27" s="40" t="str">
        <f>'Control Entry'!N31</f>
        <v/>
      </c>
      <c r="C27" s="40" t="str">
        <f>'Control Entry'!O31</f>
        <v/>
      </c>
      <c r="D27" s="46"/>
      <c r="E27" s="41" t="str">
        <f>IF(ISBLANK('Control Entry'!F31),"",'Control Entry'!F31)</f>
        <v/>
      </c>
      <c r="F27" s="41" t="str">
        <f>IF(ISBLANK('Control Entry'!I31),"",'Control Entry'!I31)</f>
        <v/>
      </c>
      <c r="G27" s="10"/>
      <c r="H27" s="35" t="s">
        <v>29</v>
      </c>
    </row>
    <row r="28" spans="1:21" ht="36" customHeight="1" x14ac:dyDescent="0.25">
      <c r="A28" s="47" t="str">
        <f>IF(ISBLANK('Control Entry'!D31),"",'Control Entry'!D31)</f>
        <v/>
      </c>
      <c r="B28" s="48" t="str">
        <f>'Control Entry'!N31</f>
        <v/>
      </c>
      <c r="C28" s="48" t="str">
        <f>'Control Entry'!O31</f>
        <v/>
      </c>
      <c r="D28" s="49" t="str">
        <f>IF(ISBLANK('Control Entry'!E31),"",'Control Entry'!E31)</f>
        <v/>
      </c>
      <c r="E28" s="41" t="str">
        <f>IF(ISBLANK('Control Entry'!G31),"",'Control Entry'!G31)</f>
        <v/>
      </c>
      <c r="F28" s="41" t="str">
        <f>IF(ISBLANK('Control Entry'!J31),"",'Control Entry'!J31)</f>
        <v/>
      </c>
      <c r="G28" s="10"/>
      <c r="H28" s="35" t="s">
        <v>29</v>
      </c>
    </row>
    <row r="29" spans="1:21" ht="36" customHeight="1" thickBot="1" x14ac:dyDescent="0.3">
      <c r="A29" s="42"/>
      <c r="B29" s="43" t="str">
        <f>'Control Entry'!N31</f>
        <v/>
      </c>
      <c r="C29" s="43" t="str">
        <f>'Control Entry'!O31</f>
        <v/>
      </c>
      <c r="D29" s="44"/>
      <c r="E29" s="45" t="str">
        <f>IF(ISBLANK('Control Entry'!H31),"",'Control Entry'!H31)</f>
        <v/>
      </c>
      <c r="F29" s="45" t="str">
        <f>IF(ISBLANK('Control Entry'!K31),"",'Control Entry'!K31)</f>
        <v/>
      </c>
      <c r="G29" s="11"/>
      <c r="H29" s="35" t="s">
        <v>29</v>
      </c>
      <c r="M29" s="145" t="s">
        <v>42</v>
      </c>
      <c r="N29" s="145"/>
      <c r="O29" s="145"/>
      <c r="P29" s="145"/>
      <c r="Q29" s="145"/>
      <c r="R29" s="145"/>
      <c r="S29" s="145"/>
      <c r="T29" s="145"/>
      <c r="U29" s="66"/>
    </row>
    <row r="30" spans="1:21" ht="36" customHeight="1" x14ac:dyDescent="0.25">
      <c r="A30" s="39"/>
      <c r="B30" s="40" t="str">
        <f>'Control Entry'!N32</f>
        <v/>
      </c>
      <c r="C30" s="40" t="str">
        <f>'Control Entry'!O32</f>
        <v/>
      </c>
      <c r="D30" s="46"/>
      <c r="E30" s="41" t="str">
        <f>IF(ISBLANK('Control Entry'!F32),"",'Control Entry'!F32)</f>
        <v/>
      </c>
      <c r="F30" s="41" t="str">
        <f>IF(ISBLANK('Control Entry'!I32),"",'Control Entry'!I32)</f>
        <v/>
      </c>
      <c r="G30" s="10"/>
      <c r="H30" s="35" t="s">
        <v>29</v>
      </c>
      <c r="M30" s="19"/>
      <c r="N30" s="27"/>
      <c r="O30" s="27"/>
      <c r="P30" s="28"/>
      <c r="Q30" s="27"/>
      <c r="R30" s="27"/>
      <c r="S30" s="27"/>
      <c r="T30" s="28"/>
      <c r="U30" s="29"/>
    </row>
    <row r="31" spans="1:21" ht="36" customHeight="1" x14ac:dyDescent="0.25">
      <c r="A31" s="47" t="str">
        <f>IF(ISBLANK('Control Entry'!D32),"",'Control Entry'!D32)</f>
        <v/>
      </c>
      <c r="B31" s="48" t="str">
        <f>'Control Entry'!N32</f>
        <v/>
      </c>
      <c r="C31" s="48" t="str">
        <f>'Control Entry'!O32</f>
        <v/>
      </c>
      <c r="D31" s="49" t="str">
        <f>IF(ISBLANK('Control Entry'!E32),"",'Control Entry'!E32)</f>
        <v/>
      </c>
      <c r="E31" s="41" t="str">
        <f>IF(ISBLANK('Control Entry'!G32),"",'Control Entry'!G32)</f>
        <v/>
      </c>
      <c r="F31" s="41" t="str">
        <f>IF(ISBLANK('Control Entry'!J32),"",'Control Entry'!J32)</f>
        <v/>
      </c>
      <c r="G31" s="10"/>
      <c r="H31" s="35" t="s">
        <v>29</v>
      </c>
      <c r="M31" s="20"/>
      <c r="N31" s="29"/>
      <c r="O31" s="29"/>
      <c r="P31" s="30"/>
      <c r="Q31" s="29"/>
      <c r="R31" s="29"/>
      <c r="S31" s="29"/>
      <c r="T31" s="30"/>
      <c r="U31" s="29"/>
    </row>
    <row r="32" spans="1:21" ht="36" customHeight="1" thickBot="1" x14ac:dyDescent="0.35">
      <c r="A32" s="42"/>
      <c r="B32" s="43" t="str">
        <f>'Control Entry'!N32</f>
        <v/>
      </c>
      <c r="C32" s="43" t="str">
        <f>'Control Entry'!O32</f>
        <v/>
      </c>
      <c r="D32" s="44"/>
      <c r="E32" s="45" t="str">
        <f>IF(ISBLANK('Control Entry'!H32),"",'Control Entry'!H32)</f>
        <v/>
      </c>
      <c r="F32" s="45" t="str">
        <f>IF(ISBLANK('Control Entry'!K32),"",'Control Entry'!K32)</f>
        <v/>
      </c>
      <c r="G32" s="11"/>
      <c r="H32" s="35" t="s">
        <v>29</v>
      </c>
      <c r="M32" s="65"/>
      <c r="N32" s="26"/>
      <c r="O32" s="26"/>
      <c r="P32" s="31"/>
      <c r="Q32" s="26"/>
      <c r="R32" s="26"/>
      <c r="S32" s="26"/>
      <c r="T32" s="31"/>
      <c r="U32" s="29"/>
    </row>
    <row r="33" spans="1:22" ht="36" customHeight="1" x14ac:dyDescent="0.3">
      <c r="A33" s="130" t="s">
        <v>43</v>
      </c>
      <c r="B33" s="130"/>
      <c r="C33" s="130"/>
      <c r="D33" s="130"/>
      <c r="E33" s="130"/>
      <c r="F33" s="130"/>
      <c r="G33" s="130"/>
      <c r="H33" s="50"/>
      <c r="I33" s="50"/>
      <c r="N33" s="146"/>
      <c r="O33" s="146"/>
      <c r="P33" s="146"/>
      <c r="Q33" s="146"/>
      <c r="R33" s="146"/>
      <c r="S33" s="146"/>
      <c r="T33" s="146"/>
      <c r="U33" s="146"/>
      <c r="V33" s="69"/>
    </row>
    <row r="34" spans="1:22" ht="36" customHeight="1" x14ac:dyDescent="0.3">
      <c r="A34"/>
      <c r="O34" s="58"/>
      <c r="P34" s="58"/>
      <c r="Q34" s="58"/>
      <c r="R34" s="57"/>
    </row>
    <row r="35" spans="1:22" ht="36" customHeight="1" x14ac:dyDescent="0.2">
      <c r="A35"/>
      <c r="N35" s="145"/>
      <c r="O35" s="145"/>
      <c r="P35" s="145"/>
      <c r="Q35" s="145"/>
      <c r="R35" s="145"/>
      <c r="S35" s="145"/>
      <c r="T35" s="145"/>
      <c r="U35" s="145"/>
    </row>
    <row r="36" spans="1:22" ht="36" customHeight="1" x14ac:dyDescent="0.2">
      <c r="A36"/>
      <c r="N36" s="36"/>
      <c r="O36" s="29"/>
      <c r="P36" s="29"/>
      <c r="Q36" s="29"/>
      <c r="R36" s="29"/>
      <c r="S36" s="29"/>
      <c r="T36" s="29"/>
      <c r="U36" s="29"/>
    </row>
    <row r="37" spans="1:22" ht="36" customHeight="1" x14ac:dyDescent="0.2">
      <c r="A37"/>
      <c r="N37" s="36"/>
      <c r="O37" s="29"/>
      <c r="P37" s="29"/>
      <c r="Q37" s="29"/>
      <c r="R37" s="29"/>
      <c r="S37" s="29"/>
      <c r="T37" s="29"/>
      <c r="U37" s="29"/>
    </row>
    <row r="38" spans="1:22" ht="36" customHeight="1" x14ac:dyDescent="0.3">
      <c r="A38"/>
      <c r="N38" s="67"/>
      <c r="O38" s="29"/>
      <c r="P38" s="29"/>
      <c r="Q38" s="29"/>
      <c r="R38" s="29"/>
      <c r="S38" s="29"/>
      <c r="T38" s="29"/>
      <c r="U38" s="29"/>
    </row>
    <row r="39" spans="1:22" ht="36" customHeight="1" x14ac:dyDescent="0.2">
      <c r="A39"/>
    </row>
    <row r="40" spans="1:22" ht="36" customHeight="1" x14ac:dyDescent="0.2">
      <c r="A40"/>
    </row>
  </sheetData>
  <mergeCells count="20">
    <mergeCell ref="A33:G33"/>
    <mergeCell ref="N33:U33"/>
    <mergeCell ref="N35:U35"/>
    <mergeCell ref="L21:U21"/>
    <mergeCell ref="L8:Q8"/>
    <mergeCell ref="M29:T29"/>
    <mergeCell ref="N18:S18"/>
    <mergeCell ref="N19:S19"/>
    <mergeCell ref="D12:D14"/>
    <mergeCell ref="D9:D11"/>
    <mergeCell ref="L6:U6"/>
    <mergeCell ref="T8:U8"/>
    <mergeCell ref="A1:G1"/>
    <mergeCell ref="K2:U2"/>
    <mergeCell ref="N3:S3"/>
    <mergeCell ref="M4:T4"/>
    <mergeCell ref="N5:O5"/>
    <mergeCell ref="R5:U5"/>
    <mergeCell ref="D6:D7"/>
    <mergeCell ref="D3:D5"/>
  </mergeCells>
  <phoneticPr fontId="16" type="noConversion"/>
  <printOptions verticalCentered="1"/>
  <pageMargins left="0.31496062992125984" right="0.11811023622047245" top="0.11811023622047245" bottom="0.15748031496062992" header="0" footer="0"/>
  <pageSetup scale="48" orientation="landscape" horizontalDpi="4294967292" verticalDpi="4294967292" r:id="rId1"/>
  <ignoredErrors>
    <ignoredError sqref="L8 T8" emptyCellReference="1"/>
  </ignoredErrors>
  <drawing r:id="rId2"/>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29</vt:i4>
      </vt:variant>
    </vt:vector>
  </HeadingPairs>
  <TitlesOfParts>
    <vt:vector size="32" baseType="lpstr">
      <vt:lpstr>Control Entry</vt:lpstr>
      <vt:lpstr>Control Card #1</vt:lpstr>
      <vt:lpstr>Control Card #2</vt:lpstr>
      <vt:lpstr>brevet</vt:lpstr>
      <vt:lpstr>Brevet_Description</vt:lpstr>
      <vt:lpstr>Brevet_Length</vt:lpstr>
      <vt:lpstr>Brevet_Number</vt:lpstr>
      <vt:lpstr>Close</vt:lpstr>
      <vt:lpstr>Close_time</vt:lpstr>
      <vt:lpstr>Control_1</vt:lpstr>
      <vt:lpstr>Control_10</vt:lpstr>
      <vt:lpstr>Control_2</vt:lpstr>
      <vt:lpstr>Control_3</vt:lpstr>
      <vt:lpstr>Control_4</vt:lpstr>
      <vt:lpstr>Control_5</vt:lpstr>
      <vt:lpstr>Control_6</vt:lpstr>
      <vt:lpstr>Control_7</vt:lpstr>
      <vt:lpstr>Control_8</vt:lpstr>
      <vt:lpstr>Control_9</vt:lpstr>
      <vt:lpstr>Distance</vt:lpstr>
      <vt:lpstr>Establishment_1</vt:lpstr>
      <vt:lpstr>Establishment_2</vt:lpstr>
      <vt:lpstr>Establishment_3</vt:lpstr>
      <vt:lpstr>Locale</vt:lpstr>
      <vt:lpstr>Max_time</vt:lpstr>
      <vt:lpstr>Open</vt:lpstr>
      <vt:lpstr>Open_time</vt:lpstr>
      <vt:lpstr>'Control Card #1'!Print_Area</vt:lpstr>
      <vt:lpstr>'Control Card #1'!Print_Titles</vt:lpstr>
      <vt:lpstr>'Control Card #2'!Print_Titles</vt:lpstr>
      <vt:lpstr>Start_date</vt:lpstr>
      <vt:lpstr>Start_time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Hinde</dc:creator>
  <cp:lastModifiedBy>Deirdre Arscott</cp:lastModifiedBy>
  <cp:lastPrinted>2021-07-27T20:29:47Z</cp:lastPrinted>
  <dcterms:created xsi:type="dcterms:W3CDTF">1997-11-12T04:43:39Z</dcterms:created>
  <dcterms:modified xsi:type="dcterms:W3CDTF">2021-08-04T22:12:53Z</dcterms:modified>
</cp:coreProperties>
</file>