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showInkAnnotation="0" autoCompressPictures="0"/>
  <mc:AlternateContent xmlns:mc="http://schemas.openxmlformats.org/markup-compatibility/2006">
    <mc:Choice Requires="x15">
      <x15ac:absPath xmlns:x15ac="http://schemas.microsoft.com/office/spreadsheetml/2010/11/ac" url="/Users/stephencarol/Documents/BCR/2024/5406 Rails Trails/"/>
    </mc:Choice>
  </mc:AlternateContent>
  <xr:revisionPtr revIDLastSave="0" documentId="13_ncr:1_{7AD4C686-6170-9943-96CA-CB0829A2B4BB}" xr6:coauthVersionLast="47" xr6:coauthVersionMax="47" xr10:uidLastSave="{00000000-0000-0000-0000-000000000000}"/>
  <bookViews>
    <workbookView xWindow="0" yWindow="760" windowWidth="29400" windowHeight="18360" tabRatio="509" xr2:uid="{00000000-000D-0000-FFFF-FFFF00000000}"/>
  </bookViews>
  <sheets>
    <sheet name="Control Entry" sheetId="1" r:id="rId1"/>
    <sheet name="View Royal Start" sheetId="7" r:id="rId2"/>
    <sheet name="Sidney Start" sheetId="8" r:id="rId3"/>
  </sheets>
  <definedNames>
    <definedName name="Address_1" localSheetId="2">#REF!</definedName>
    <definedName name="Address_1" localSheetId="1">#REF!</definedName>
    <definedName name="Address_1">#REF!</definedName>
    <definedName name="Address_2" localSheetId="2">#REF!</definedName>
    <definedName name="Address_2" localSheetId="1">#REF!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2">#REF!</definedName>
    <definedName name="City" localSheetId="1">#REF!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2">'Control Entry'!#REF!</definedName>
    <definedName name="Control_11" localSheetId="1">'Control Entry'!#REF!</definedName>
    <definedName name="Control_11">'Control Entry'!#REF!</definedName>
    <definedName name="Control_12" localSheetId="2">'Control Entry'!#REF!</definedName>
    <definedName name="Control_12" localSheetId="1">'Control Entry'!#REF!</definedName>
    <definedName name="Control_12">'Control Entry'!#REF!</definedName>
    <definedName name="Control_13" localSheetId="2">'Control Entry'!#REF!</definedName>
    <definedName name="Control_13" localSheetId="1">'Control Entry'!#REF!</definedName>
    <definedName name="Control_13">'Control Entry'!#REF!</definedName>
    <definedName name="Control_14" localSheetId="2">'Control Entry'!#REF!</definedName>
    <definedName name="Control_14" localSheetId="1">'Control Entry'!#REF!</definedName>
    <definedName name="Control_14">'Control Entry'!#REF!</definedName>
    <definedName name="Control_15" localSheetId="2">'Control Entry'!#REF!</definedName>
    <definedName name="Control_15" localSheetId="1">'Control Entry'!#REF!</definedName>
    <definedName name="Control_15">'Control Entry'!#REF!</definedName>
    <definedName name="Control_16" localSheetId="2">'Control Entry'!#REF!</definedName>
    <definedName name="Control_16" localSheetId="1">'Control Entry'!#REF!</definedName>
    <definedName name="Control_16">'Control Entry'!#REF!</definedName>
    <definedName name="Control_17" localSheetId="2">'Control Entry'!#REF!</definedName>
    <definedName name="Control_17" localSheetId="1">'Control Entry'!#REF!</definedName>
    <definedName name="Control_17">'Control Entry'!#REF!</definedName>
    <definedName name="Control_18" localSheetId="2">'Control Entry'!#REF!</definedName>
    <definedName name="Control_18" localSheetId="1">'Control Entry'!#REF!</definedName>
    <definedName name="Control_18">'Control Entry'!#REF!</definedName>
    <definedName name="Control_19" localSheetId="2">'Control Entry'!#REF!</definedName>
    <definedName name="Control_19" localSheetId="1">'Control Entry'!#REF!</definedName>
    <definedName name="Control_19">'Control Entry'!#REF!</definedName>
    <definedName name="Control_2">'Control Entry'!$D$16:$O$16</definedName>
    <definedName name="Control_20" localSheetId="2">'Control Entry'!#REF!</definedName>
    <definedName name="Control_20" localSheetId="1">'Control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2">#REF!</definedName>
    <definedName name="Country" localSheetId="1">#REF!</definedName>
    <definedName name="Country">#REF!</definedName>
    <definedName name="Distance">'Control Entry'!$D$15:$D$24</definedName>
    <definedName name="email" localSheetId="2">#REF!</definedName>
    <definedName name="email" localSheetId="1">#REF!</definedName>
    <definedName name="email">#REF!</definedName>
    <definedName name="Establishment_1">'Control Entry'!$F$15:$F$24</definedName>
    <definedName name="Establishment_2">'Control Entry'!$G$15:$G$24</definedName>
    <definedName name="Establishment_3">'Control Entry'!$H$15:$H$24</definedName>
    <definedName name="Fax" localSheetId="2">#REF!</definedName>
    <definedName name="Fax" localSheetId="1">#REF!</definedName>
    <definedName name="Fax">#REF!</definedName>
    <definedName name="First_Name" localSheetId="2">#REF!</definedName>
    <definedName name="First_Name" localSheetId="1">#REF!</definedName>
    <definedName name="First_Name">#REF!</definedName>
    <definedName name="Home_telephone" localSheetId="2">#REF!</definedName>
    <definedName name="Home_telephone" localSheetId="1">#REF!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1">#REF!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2">#REF!</definedName>
    <definedName name="Postal_Code" localSheetId="1">#REF!</definedName>
    <definedName name="Postal_Code">#REF!</definedName>
    <definedName name="_xlnm.Print_Area" localSheetId="2">'Sidney Start'!$A$1:$K$55</definedName>
    <definedName name="_xlnm.Print_Area" localSheetId="1">'View Royal Start'!$A$1:$K$55</definedName>
    <definedName name="Province_State" localSheetId="2">#REF!</definedName>
    <definedName name="Province_State" localSheetId="1">#REF!</definedName>
    <definedName name="Province_State">#REF!</definedName>
    <definedName name="Start_date">'Control Entry'!$B$12</definedName>
    <definedName name="Start_time">'Control Entry'!$B$13</definedName>
    <definedName name="surname" localSheetId="2">#REF!</definedName>
    <definedName name="surname" localSheetId="1">#REF!</definedName>
    <definedName name="surname">#REF!</definedName>
    <definedName name="Work_telephone" localSheetId="2">#REF!</definedName>
    <definedName name="Work_telephone" localSheetId="1">#REF!</definedName>
    <definedName name="Work_teleph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0" i="8" l="1"/>
  <c r="G49" i="8"/>
  <c r="G48" i="8"/>
  <c r="F50" i="8"/>
  <c r="F49" i="8"/>
  <c r="F48" i="8"/>
  <c r="E49" i="8"/>
  <c r="B49" i="8"/>
  <c r="G47" i="8"/>
  <c r="G46" i="8"/>
  <c r="G45" i="8"/>
  <c r="F47" i="8"/>
  <c r="F46" i="8"/>
  <c r="F45" i="8"/>
  <c r="E46" i="8"/>
  <c r="B46" i="8"/>
  <c r="G44" i="8"/>
  <c r="G43" i="8"/>
  <c r="G42" i="8"/>
  <c r="F44" i="8"/>
  <c r="F43" i="8"/>
  <c r="F42" i="8"/>
  <c r="E43" i="8"/>
  <c r="B43" i="8"/>
  <c r="G41" i="8"/>
  <c r="G40" i="8"/>
  <c r="G39" i="8"/>
  <c r="F41" i="8"/>
  <c r="F40" i="8"/>
  <c r="F39" i="8"/>
  <c r="E40" i="8"/>
  <c r="B40" i="8"/>
  <c r="G38" i="8"/>
  <c r="G37" i="8"/>
  <c r="G36" i="8"/>
  <c r="F38" i="8"/>
  <c r="F37" i="8"/>
  <c r="F36" i="8"/>
  <c r="E37" i="8"/>
  <c r="B37" i="8"/>
  <c r="G35" i="8"/>
  <c r="G34" i="8"/>
  <c r="G33" i="8"/>
  <c r="F35" i="8"/>
  <c r="F34" i="8"/>
  <c r="F33" i="8"/>
  <c r="E34" i="8"/>
  <c r="B34" i="8"/>
  <c r="G32" i="8"/>
  <c r="G31" i="8"/>
  <c r="G30" i="8"/>
  <c r="F32" i="8"/>
  <c r="F31" i="8"/>
  <c r="F30" i="8"/>
  <c r="E31" i="8"/>
  <c r="B31" i="8"/>
  <c r="G29" i="8"/>
  <c r="G28" i="8"/>
  <c r="G26" i="8"/>
  <c r="G25" i="8"/>
  <c r="G27" i="8"/>
  <c r="F29" i="8"/>
  <c r="F28" i="8"/>
  <c r="F27" i="8"/>
  <c r="E28" i="8"/>
  <c r="B28" i="8"/>
  <c r="G24" i="8"/>
  <c r="F26" i="8"/>
  <c r="F25" i="8"/>
  <c r="F24" i="8"/>
  <c r="E25" i="8"/>
  <c r="B25" i="8"/>
  <c r="B22" i="8"/>
  <c r="G23" i="8"/>
  <c r="G22" i="8"/>
  <c r="G21" i="8"/>
  <c r="F23" i="8"/>
  <c r="F22" i="8"/>
  <c r="F21" i="8"/>
  <c r="E22" i="8"/>
  <c r="C54" i="8"/>
  <c r="J52" i="8"/>
  <c r="I12" i="8"/>
  <c r="F12" i="8"/>
  <c r="E5" i="8"/>
  <c r="E4" i="8"/>
  <c r="J3" i="8"/>
  <c r="J2" i="8"/>
  <c r="M37" i="1"/>
  <c r="O37" i="1" s="1"/>
  <c r="L37" i="1"/>
  <c r="N37" i="1" s="1"/>
  <c r="M36" i="1"/>
  <c r="L36" i="1"/>
  <c r="M35" i="1"/>
  <c r="L35" i="1"/>
  <c r="L34" i="1"/>
  <c r="L33" i="1"/>
  <c r="L32" i="1"/>
  <c r="L31" i="1"/>
  <c r="L30" i="1"/>
  <c r="L29" i="1"/>
  <c r="M28" i="1"/>
  <c r="L28" i="1"/>
  <c r="C48" i="8" l="1"/>
  <c r="D49" i="8"/>
  <c r="D50" i="8"/>
  <c r="C49" i="8"/>
  <c r="C50" i="8"/>
  <c r="D48" i="8"/>
  <c r="L7" i="1"/>
  <c r="E5" i="7" l="1"/>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F50" i="7"/>
  <c r="F49" i="7"/>
  <c r="E49" i="7"/>
  <c r="B49" i="7"/>
  <c r="F48" i="7"/>
  <c r="F47" i="7"/>
  <c r="F46" i="7"/>
  <c r="E46" i="7"/>
  <c r="B46" i="7"/>
  <c r="F45" i="7"/>
  <c r="F44" i="7"/>
  <c r="F43" i="7"/>
  <c r="E43" i="7"/>
  <c r="B43" i="7"/>
  <c r="F42" i="7"/>
  <c r="F41" i="7"/>
  <c r="F40" i="7"/>
  <c r="E40" i="7"/>
  <c r="B40" i="7"/>
  <c r="F39" i="7"/>
  <c r="F38" i="7"/>
  <c r="F37" i="7"/>
  <c r="E37" i="7"/>
  <c r="B37" i="7"/>
  <c r="F36" i="7"/>
  <c r="F35" i="7"/>
  <c r="F34" i="7"/>
  <c r="E34" i="7"/>
  <c r="B34" i="7"/>
  <c r="F33" i="7"/>
  <c r="F32" i="7"/>
  <c r="F31" i="7"/>
  <c r="E31" i="7"/>
  <c r="B31" i="7"/>
  <c r="F30" i="7"/>
  <c r="F29" i="7"/>
  <c r="F28" i="7"/>
  <c r="E28" i="7"/>
  <c r="B28" i="7"/>
  <c r="F27" i="7"/>
  <c r="F26" i="7"/>
  <c r="F25" i="7"/>
  <c r="E25" i="7"/>
  <c r="B25" i="7"/>
  <c r="F24" i="7"/>
  <c r="F23" i="7"/>
  <c r="F22" i="7"/>
  <c r="E22" i="7"/>
  <c r="B22" i="7"/>
  <c r="F21" i="7"/>
  <c r="J52" i="7" l="1"/>
  <c r="I12" i="7"/>
  <c r="F12" i="7"/>
  <c r="J2" i="7"/>
  <c r="C54" i="7"/>
  <c r="J3" i="7"/>
  <c r="E4" i="7" l="1"/>
  <c r="L15" i="1" l="1"/>
  <c r="N15" i="1" s="1"/>
  <c r="C6" i="1"/>
  <c r="L24" i="1"/>
  <c r="L23" i="1"/>
  <c r="L22" i="1"/>
  <c r="L21" i="1"/>
  <c r="L20" i="1"/>
  <c r="L19" i="1"/>
  <c r="L18" i="1"/>
  <c r="L17" i="1"/>
  <c r="L16" i="1"/>
  <c r="N35" i="1" l="1"/>
  <c r="N36" i="1"/>
  <c r="O35" i="1"/>
  <c r="O36" i="1"/>
  <c r="M32" i="1"/>
  <c r="O32" i="1" s="1"/>
  <c r="M30" i="1"/>
  <c r="M33" i="1"/>
  <c r="O33" i="1" s="1"/>
  <c r="M31" i="1"/>
  <c r="O31" i="1" s="1"/>
  <c r="M29" i="1"/>
  <c r="O29" i="1" s="1"/>
  <c r="N33" i="1"/>
  <c r="N31" i="1"/>
  <c r="N30" i="1"/>
  <c r="N34" i="1"/>
  <c r="N32" i="1"/>
  <c r="N29" i="1"/>
  <c r="O30" i="1"/>
  <c r="N28" i="1"/>
  <c r="O28" i="1"/>
  <c r="M16" i="1"/>
  <c r="O16" i="1" s="1"/>
  <c r="C22" i="7"/>
  <c r="C23" i="7"/>
  <c r="C21" i="7"/>
  <c r="B7" i="1"/>
  <c r="M21" i="1" s="1"/>
  <c r="O21" i="1" s="1"/>
  <c r="M19" i="1"/>
  <c r="O19" i="1" s="1"/>
  <c r="M18" i="1"/>
  <c r="O18" i="1" s="1"/>
  <c r="M17" i="1"/>
  <c r="O17" i="1" s="1"/>
  <c r="M15" i="1"/>
  <c r="O15" i="1" s="1"/>
  <c r="N18" i="1"/>
  <c r="N22" i="1"/>
  <c r="N17" i="1"/>
  <c r="N21" i="1"/>
  <c r="N24" i="1"/>
  <c r="N16" i="1"/>
  <c r="N20" i="1"/>
  <c r="N19" i="1"/>
  <c r="N23" i="1"/>
  <c r="D44" i="8" l="1"/>
  <c r="D42" i="8"/>
  <c r="D43" i="8"/>
  <c r="C45" i="8"/>
  <c r="C46" i="8"/>
  <c r="C47" i="8"/>
  <c r="D45" i="8"/>
  <c r="D46" i="8"/>
  <c r="D47" i="8"/>
  <c r="C43" i="8"/>
  <c r="C44" i="8"/>
  <c r="C42" i="8"/>
  <c r="M34" i="1"/>
  <c r="O34" i="1" s="1"/>
  <c r="D25" i="8"/>
  <c r="D26" i="8"/>
  <c r="D24" i="8"/>
  <c r="D28" i="8"/>
  <c r="D27" i="8"/>
  <c r="D29" i="8"/>
  <c r="C41" i="8"/>
  <c r="C39" i="8"/>
  <c r="C40" i="8"/>
  <c r="D35" i="8"/>
  <c r="D34" i="8"/>
  <c r="D33" i="8"/>
  <c r="C30" i="8"/>
  <c r="C31" i="8"/>
  <c r="C32" i="8"/>
  <c r="D37" i="8"/>
  <c r="D36" i="8"/>
  <c r="D38" i="8"/>
  <c r="C24" i="8"/>
  <c r="C25" i="8"/>
  <c r="C26" i="8"/>
  <c r="C27" i="8"/>
  <c r="C28" i="8"/>
  <c r="C29" i="8"/>
  <c r="C35" i="8"/>
  <c r="C33" i="8"/>
  <c r="C34" i="8"/>
  <c r="D31" i="8"/>
  <c r="D30" i="8"/>
  <c r="D32" i="8"/>
  <c r="C36" i="8"/>
  <c r="C37" i="8"/>
  <c r="C38" i="8"/>
  <c r="C21" i="8"/>
  <c r="C23" i="8"/>
  <c r="C22" i="8"/>
  <c r="D21" i="8"/>
  <c r="D22" i="8"/>
  <c r="D23" i="8"/>
  <c r="M24" i="1"/>
  <c r="O24" i="1" s="1"/>
  <c r="M23" i="1"/>
  <c r="O23" i="1" s="1"/>
  <c r="M20" i="1"/>
  <c r="O20" i="1" s="1"/>
  <c r="M22" i="1"/>
  <c r="O22" i="1" s="1"/>
  <c r="D29" i="7"/>
  <c r="D28" i="7"/>
  <c r="D27" i="7"/>
  <c r="C26" i="7"/>
  <c r="C25" i="7"/>
  <c r="C24" i="7"/>
  <c r="D26" i="7"/>
  <c r="D24" i="7"/>
  <c r="D25" i="7"/>
  <c r="C47" i="7"/>
  <c r="C45" i="7"/>
  <c r="C46" i="7"/>
  <c r="D41" i="7"/>
  <c r="D40" i="7"/>
  <c r="D39" i="7"/>
  <c r="C39" i="7"/>
  <c r="C41" i="7"/>
  <c r="C40" i="7"/>
  <c r="C43" i="7"/>
  <c r="C42" i="7"/>
  <c r="C44" i="7"/>
  <c r="C31" i="7"/>
  <c r="C32" i="7"/>
  <c r="C30" i="7"/>
  <c r="D23" i="7"/>
  <c r="D21" i="7"/>
  <c r="D22" i="7"/>
  <c r="C50" i="7"/>
  <c r="C49" i="7"/>
  <c r="C48" i="7"/>
  <c r="C35" i="7"/>
  <c r="C33" i="7"/>
  <c r="C34" i="7"/>
  <c r="C38" i="7"/>
  <c r="C37" i="7"/>
  <c r="C36" i="7"/>
  <c r="C29" i="7"/>
  <c r="C27" i="7"/>
  <c r="C28" i="7"/>
  <c r="D35" i="7"/>
  <c r="D33" i="7"/>
  <c r="D34" i="7"/>
  <c r="D31" i="7"/>
  <c r="D32" i="7"/>
  <c r="D30" i="7"/>
  <c r="D40" i="8" l="1"/>
  <c r="D39" i="8"/>
  <c r="D41" i="8"/>
  <c r="D37" i="7"/>
  <c r="D47" i="7"/>
  <c r="D50" i="7"/>
  <c r="D44" i="7"/>
  <c r="D48" i="7"/>
  <c r="D49" i="7"/>
  <c r="D38" i="7"/>
  <c r="D36" i="7"/>
  <c r="D42" i="7"/>
  <c r="D46" i="7"/>
  <c r="D45" i="7"/>
  <c r="D4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1200, 1000, 600, 400, 300, 200, 150, 100, 50, 25
</t>
        </r>
      </text>
    </comment>
    <comment ref="B7" authorId="1" shapeId="0" xr:uid="{00000000-0006-0000-0000-000002000000}">
      <text>
        <r>
          <rPr>
            <sz val="8"/>
            <color rgb="FF000000"/>
            <rFont val="Tahoma"/>
            <family val="2"/>
          </rPr>
          <t>Autocalculated based on ACP specified times</t>
        </r>
      </text>
    </comment>
    <comment ref="B8" authorId="0" shapeId="0" xr:uid="{3C1C451D-6AE0-F242-A53A-80693F934BEF}">
      <text>
        <r>
          <rPr>
            <b/>
            <sz val="10"/>
            <color rgb="FF000000"/>
            <rFont val="Tahoma"/>
            <family val="2"/>
          </rPr>
          <t>Stephen Hinde:</t>
        </r>
        <r>
          <rPr>
            <sz val="10"/>
            <color rgb="FF000000"/>
            <rFont val="Tahoma"/>
            <family val="2"/>
          </rPr>
          <t xml:space="preserve">
</t>
        </r>
        <r>
          <rPr>
            <sz val="10"/>
            <color rgb="FF000000"/>
            <rFont val="Tahoma"/>
            <family val="2"/>
          </rPr>
          <t xml:space="preserve">Name of event
</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F10" authorId="0" shapeId="0" xr:uid="{5C82D454-BE95-3146-96C3-E89A0149B208}">
      <text>
        <r>
          <rPr>
            <b/>
            <sz val="10"/>
            <color rgb="FF000000"/>
            <rFont val="Tahoma"/>
            <family val="2"/>
          </rPr>
          <t>Stephen Hinde:</t>
        </r>
        <r>
          <rPr>
            <sz val="10"/>
            <color rgb="FF000000"/>
            <rFont val="Tahoma"/>
            <family val="2"/>
          </rPr>
          <t xml:space="preserve">
</t>
        </r>
        <r>
          <rPr>
            <sz val="10"/>
            <color rgb="FF000000"/>
            <rFont val="Tahoma"/>
            <family val="2"/>
          </rPr>
          <t xml:space="preserve">Optional.  </t>
        </r>
      </text>
    </comment>
    <comment ref="B12"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 ref="F14" authorId="0" shapeId="0" xr:uid="{E6B5DB4F-63CC-9A4E-B02A-4C28633B0FBD}">
      <text>
        <r>
          <rPr>
            <b/>
            <sz val="10"/>
            <color rgb="FF000000"/>
            <rFont val="Tahoma"/>
            <family val="2"/>
          </rPr>
          <t>Stephen Hinde:</t>
        </r>
        <r>
          <rPr>
            <sz val="10"/>
            <color rgb="FF000000"/>
            <rFont val="Tahoma"/>
            <family val="2"/>
          </rPr>
          <t xml:space="preserve">
</t>
        </r>
        <r>
          <rPr>
            <sz val="10"/>
            <color rgb="FF000000"/>
            <rFont val="Tahoma"/>
            <family val="2"/>
          </rPr>
          <t xml:space="preserve">It is recommended to put the type of control in this space ie 
</t>
        </r>
        <r>
          <rPr>
            <sz val="10"/>
            <color rgb="FF000000"/>
            <rFont val="Tahoma"/>
            <family val="2"/>
          </rPr>
          <t xml:space="preserve">STAFFED
</t>
        </r>
        <r>
          <rPr>
            <sz val="10"/>
            <color rgb="FF000000"/>
            <rFont val="Tahoma"/>
            <family val="2"/>
          </rPr>
          <t xml:space="preserve">BUSINESS INFORMATION
</t>
        </r>
        <r>
          <rPr>
            <sz val="10"/>
            <color rgb="FF000000"/>
            <rFont val="Tahoma"/>
            <family val="2"/>
          </rPr>
          <t>SELF CHECK</t>
        </r>
      </text>
    </comment>
  </commentList>
</comments>
</file>

<file path=xl/sharedStrings.xml><?xml version="1.0" encoding="utf-8"?>
<sst xmlns="http://schemas.openxmlformats.org/spreadsheetml/2006/main" count="225" uniqueCount="121">
  <si>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</si>
  <si>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</si>
  <si>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</si>
  <si>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</si>
  <si>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</si>
  <si>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</si>
  <si>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</si>
  <si>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</si>
  <si>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</si>
  <si>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</si>
  <si>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</si>
  <si>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</si>
  <si>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</si>
  <si>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</si>
  <si>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</si>
  <si>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</si>
  <si>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</si>
  <si>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</si>
  <si>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</si>
  <si>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</si>
  <si>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</si>
  <si>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</si>
  <si>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</si>
  <si>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</si>
  <si>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</si>
  <si>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</si>
  <si>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DIST (km)</t>
  </si>
  <si>
    <t>Establishment</t>
  </si>
  <si>
    <t>Time of Passage</t>
  </si>
  <si>
    <t>Control Card</t>
  </si>
  <si>
    <t>Report results or abandonment through registration email link</t>
  </si>
  <si>
    <t>Member #</t>
  </si>
  <si>
    <t>Schedule date:</t>
  </si>
  <si>
    <t>Founding member of LES RANDONNEURS MONDIAUX (1983)</t>
  </si>
  <si>
    <t>Bicycle Type
Circle one</t>
  </si>
  <si>
    <t>-------&gt;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</si>
  <si>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</si>
  <si>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</si>
  <si>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</si>
  <si>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</si>
  <si>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</si>
  <si>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</si>
  <si>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</si>
  <si>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</si>
  <si>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</si>
  <si>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</si>
  <si>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When using information controls, you can put your question in the Signature/Answer section eg Sig/Ans.1 Sign on main door  Sig/Ans. 2  This week's special is?  Sig/Ans. 3 ________________</t>
  </si>
  <si>
    <t>Control Card #1 Information Control Question (optional)</t>
  </si>
  <si>
    <t>Enter the start time.  This will be the official ACP listed start time found on the event page, unless a ride window has been enabled.</t>
  </si>
  <si>
    <t>Enter the start date.  This will be the same as the schedule date, exceot for pre-rides or unless a ride window has been enabled.</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</si>
  <si>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</si>
  <si>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</si>
  <si>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</si>
  <si>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Scroll right to see further instructions</t>
  </si>
  <si>
    <t xml:space="preserve">Card Revised:  </t>
  </si>
  <si>
    <t>DO NOT MOVE OR DELETE ROWS OR COLUMNS (delete contents of cells only)</t>
  </si>
  <si>
    <t xml:space="preserve">Organizer: </t>
  </si>
  <si>
    <t>Single     Tandem     Fixed     Recumbent     Velomobile</t>
  </si>
  <si>
    <t>Card revised:</t>
  </si>
  <si>
    <t>Template revised:</t>
  </si>
  <si>
    <t>Brevet #</t>
  </si>
  <si>
    <t>Rider:</t>
  </si>
  <si>
    <t>Finish Date:</t>
  </si>
  <si>
    <t>Start time:</t>
  </si>
  <si>
    <t>Finish time:</t>
  </si>
  <si>
    <t>Elapsed time:</t>
  </si>
  <si>
    <t>Organizer phone #</t>
  </si>
  <si>
    <t>Organizer phone number is optional</t>
  </si>
  <si>
    <t>Fill in the Locale (city) for each control.  Establishment 1, 2, and 3 can be used to describe the control itself eg Locale HOPE  Est.1  BUSINESS Est.2 Dairy Queen Est.3 817 Water Ave .  For a secret control, use SECRET as the locale.</t>
  </si>
  <si>
    <t>Control Card #2</t>
  </si>
  <si>
    <t>Control Card #2 Information Control Question (optional)</t>
  </si>
  <si>
    <t>You can create 2control cards  (upto 20 controls) for one event, or 2control cards (up to 10 controls) with different start loctions for a single event.</t>
  </si>
  <si>
    <t>Fill in the control distance.  The opening and closing times will be automatically calculated based on the start time and the brevet distance.  If you need more than 10 controls, or need an alternate start loction, use card #2, otherwise leave that section blank.</t>
  </si>
  <si>
    <t>(circle)</t>
  </si>
  <si>
    <t>Old Rails and Trails</t>
  </si>
  <si>
    <t>‭778-350-6119‬</t>
  </si>
  <si>
    <t>VIEW ROYAL</t>
  </si>
  <si>
    <t>SOOKE</t>
  </si>
  <si>
    <t>SAANICH</t>
  </si>
  <si>
    <t>NORTH SAANICH</t>
  </si>
  <si>
    <t>OAK BAY</t>
  </si>
  <si>
    <t>VICTORIA</t>
  </si>
  <si>
    <t xml:space="preserve">Harvest Lane Park </t>
  </si>
  <si>
    <t>1457 Harvest Ln</t>
  </si>
  <si>
    <t>Anderson Hill Park</t>
  </si>
  <si>
    <t>572 Island Rd</t>
  </si>
  <si>
    <t>Entry arch to park,</t>
  </si>
  <si>
    <t>How many signs on left post?</t>
  </si>
  <si>
    <t>HMCS Malahat</t>
  </si>
  <si>
    <t>20 Huron St</t>
  </si>
  <si>
    <t>Sooke River Rd parking lot</t>
  </si>
  <si>
    <t>The Flight Path, Mills Rd</t>
  </si>
  <si>
    <t>Concrete posts beside path</t>
  </si>
  <si>
    <t>Right post plaque</t>
  </si>
  <si>
    <t>Patricia Bay 1939 -    ___________</t>
  </si>
  <si>
    <t>Portage Park</t>
  </si>
  <si>
    <t>Bicycle art in front of bench</t>
  </si>
  <si>
    <t>What size?</t>
  </si>
  <si>
    <t>Small        Lifesize        Big</t>
  </si>
  <si>
    <t>Self sign</t>
  </si>
  <si>
    <t>STAFFED</t>
  </si>
  <si>
    <t>Under steps to slide</t>
  </si>
  <si>
    <t>"There's magical _________within"?</t>
  </si>
  <si>
    <t>598 Parkridge St</t>
  </si>
  <si>
    <t>You're on the trail, though</t>
  </si>
  <si>
    <t>Washroom building</t>
  </si>
  <si>
    <t>Which side of tennis court?</t>
  </si>
  <si>
    <t>LEFT          RIGHT</t>
  </si>
  <si>
    <r>
      <t>Sooke _______</t>
    </r>
    <r>
      <rPr>
        <u/>
        <sz val="10"/>
        <rFont val="Arial"/>
        <family val="2"/>
      </rPr>
      <t xml:space="preserve"> </t>
    </r>
    <r>
      <rPr>
        <sz val="10"/>
        <rFont val="Arial"/>
        <family val="2"/>
      </rPr>
      <t>Historical Society</t>
    </r>
  </si>
  <si>
    <t>Outside left of entrance</t>
  </si>
  <si>
    <t>What is the big black sculpture thing?</t>
  </si>
  <si>
    <t>Copley West Park</t>
  </si>
  <si>
    <t>45 Island View Ave</t>
  </si>
  <si>
    <t>Water fountain</t>
  </si>
  <si>
    <t>Which side of info sign?</t>
  </si>
  <si>
    <t>Atkins Rd parking lot</t>
  </si>
  <si>
    <t>Bottom of green Info sign by washroom</t>
  </si>
  <si>
    <t xml:space="preserve">Galloping Goose </t>
  </si>
  <si>
    <t>Regional Park</t>
  </si>
  <si>
    <t xml:space="preserve">Lost Airmen of </t>
  </si>
  <si>
    <t>the Empire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</si>
</sst>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numFmts>
  <fonts count="37"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sz val="18"/>
      <name val="Arial"/>
      <family val="2"/>
    </font>
    <font>
      <sz val="14"/>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6"/>
      <color rgb="FFFF0000"/>
      <name val="Arial"/>
      <family val="2"/>
    </font>
    <font>
      <sz val="9"/>
      <name val="Arial"/>
      <family val="2"/>
    </font>
    <font>
      <sz val="11"/>
      <name val="Arial Narrow"/>
      <family val="2"/>
    </font>
    <font>
      <sz val="22"/>
      <name val="Arial"/>
      <family val="2"/>
    </font>
    <font>
      <b/>
      <sz val="18"/>
      <name val="Arial"/>
      <family val="2"/>
    </font>
    <font>
      <sz val="14"/>
      <color rgb="FFFF0000"/>
      <name val="Arial"/>
      <family val="2"/>
    </font>
    <font>
      <sz val="11"/>
      <name val="Arial"/>
      <family val="2"/>
    </font>
    <font>
      <sz val="11"/>
      <color rgb="FFFF0000"/>
      <name val="Arial"/>
      <family val="2"/>
    </font>
    <font>
      <b/>
      <sz val="22"/>
      <name val="Arial"/>
      <family val="2"/>
    </font>
    <font>
      <sz val="20"/>
      <name val="Arial Narrow"/>
      <family val="2"/>
    </font>
    <font>
      <b/>
      <sz val="20"/>
      <name val="Arial Narrow"/>
      <family val="2"/>
    </font>
    <font>
      <u/>
      <sz val="10"/>
      <name val="Arial"/>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top/>
      <bottom style="double">
        <color indexed="64"/>
      </bottom>
      <diagonal/>
    </border>
    <border>
      <left style="medium">
        <color auto="1"/>
      </left>
      <right/>
      <top/>
      <bottom style="thin">
        <color auto="1"/>
      </bottom>
      <diagonal/>
    </border>
  </borders>
  <cellStyleXfs count="356">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xf numFmtId="0" fontId="4" fillId="0" borderId="0"/>
    <xf numFmtId="0" fontId="5" fillId="0" borderId="0"/>
    <xf numFmtId="0" fontId="3" fillId="0" borderId="0"/>
    <xf numFmtId="0" fontId="2"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41">
    <xf numFmtId="0" fontId="0" fillId="0" borderId="0" xfId="0"/>
    <xf numFmtId="0" fontId="0" fillId="0" borderId="0" xfId="0" applyAlignment="1">
      <alignment horizontal="right"/>
    </xf>
    <xf numFmtId="0" fontId="0" fillId="0" borderId="0" xfId="0" applyProtection="1">
      <protection hidden="1"/>
    </xf>
    <xf numFmtId="164" fontId="0" fillId="0" borderId="0" xfId="0" applyNumberFormat="1"/>
    <xf numFmtId="164" fontId="0" fillId="0" borderId="0" xfId="0" applyNumberFormat="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0" borderId="0" xfId="0" applyAlignment="1">
      <alignment vertical="top" textRotation="90"/>
    </xf>
    <xf numFmtId="0" fontId="0" fillId="0" borderId="0" xfId="0" applyAlignment="1" applyProtection="1">
      <alignment horizontal="centerContinuous"/>
      <protection hidden="1"/>
    </xf>
    <xf numFmtId="0" fontId="0" fillId="0" borderId="0" xfId="0" applyAlignment="1">
      <alignment horizontal="centerContinuous"/>
    </xf>
    <xf numFmtId="167" fontId="0" fillId="0" borderId="13" xfId="0" applyNumberFormat="1" applyBorder="1" applyProtection="1">
      <protection locked="0"/>
    </xf>
    <xf numFmtId="0" fontId="0" fillId="0" borderId="0" xfId="0" applyAlignment="1">
      <alignment horizontal="center"/>
    </xf>
    <xf numFmtId="0" fontId="10" fillId="0" borderId="0" xfId="0" applyFont="1" applyAlignment="1">
      <alignment horizontal="right"/>
    </xf>
    <xf numFmtId="0" fontId="5" fillId="2" borderId="3" xfId="0" applyFont="1" applyFill="1" applyBorder="1" applyAlignment="1">
      <alignment horizontal="right"/>
    </xf>
    <xf numFmtId="0" fontId="10" fillId="0" borderId="0" xfId="0" applyFont="1" applyAlignment="1">
      <alignment vertical="center"/>
    </xf>
    <xf numFmtId="167" fontId="0" fillId="0" borderId="23" xfId="0" applyNumberFormat="1" applyBorder="1" applyProtection="1">
      <protection locked="0"/>
    </xf>
    <xf numFmtId="168" fontId="10" fillId="0" borderId="0" xfId="0" applyNumberFormat="1" applyFont="1" applyAlignment="1">
      <alignment horizontal="center"/>
    </xf>
    <xf numFmtId="0" fontId="10" fillId="0" borderId="0" xfId="0" applyFont="1" applyAlignment="1">
      <alignment horizontal="center"/>
    </xf>
    <xf numFmtId="18" fontId="20" fillId="0" borderId="0" xfId="0" applyNumberFormat="1" applyFont="1" applyAlignment="1">
      <alignment horizontal="center" wrapText="1"/>
    </xf>
    <xf numFmtId="0" fontId="24" fillId="2" borderId="12" xfId="0" applyFont="1" applyFill="1" applyBorder="1"/>
    <xf numFmtId="0" fontId="24" fillId="2" borderId="10" xfId="0" applyFont="1" applyFill="1" applyBorder="1"/>
    <xf numFmtId="167" fontId="0" fillId="0" borderId="22" xfId="0" applyNumberFormat="1" applyBorder="1" applyProtection="1">
      <protection locked="0"/>
    </xf>
    <xf numFmtId="0" fontId="12" fillId="0" borderId="18" xfId="0" applyFont="1" applyBorder="1" applyProtection="1">
      <protection locked="0"/>
    </xf>
    <xf numFmtId="49" fontId="12" fillId="0" borderId="18" xfId="0" applyNumberFormat="1" applyFont="1" applyBorder="1" applyAlignment="1" applyProtection="1">
      <alignment horizontal="center"/>
      <protection locked="0"/>
    </xf>
    <xf numFmtId="49" fontId="12" fillId="0" borderId="8" xfId="0" applyNumberFormat="1" applyFont="1" applyBorder="1" applyAlignment="1" applyProtection="1">
      <alignment horizontal="center"/>
      <protection locked="0"/>
    </xf>
    <xf numFmtId="0" fontId="12" fillId="0" borderId="2" xfId="0" applyFont="1" applyBorder="1" applyProtection="1">
      <protection locked="0"/>
    </xf>
    <xf numFmtId="1" fontId="12" fillId="0" borderId="4" xfId="0" applyNumberFormat="1" applyFont="1" applyBorder="1" applyProtection="1">
      <protection locked="0"/>
    </xf>
    <xf numFmtId="15" fontId="12" fillId="0" borderId="4" xfId="0" applyNumberFormat="1" applyFont="1" applyBorder="1" applyProtection="1">
      <protection locked="0"/>
    </xf>
    <xf numFmtId="20" fontId="12" fillId="0" borderId="8" xfId="0" applyNumberFormat="1" applyFont="1" applyBorder="1" applyProtection="1">
      <protection locked="0"/>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4" xfId="0" applyFont="1" applyBorder="1" applyProtection="1">
      <protection locked="0"/>
    </xf>
    <xf numFmtId="167" fontId="0" fillId="0" borderId="0" xfId="0" applyNumberFormat="1"/>
    <xf numFmtId="0" fontId="9" fillId="0" borderId="0" xfId="0" applyFont="1"/>
    <xf numFmtId="0" fontId="5" fillId="0" borderId="0" xfId="0" applyFont="1"/>
    <xf numFmtId="0" fontId="0" fillId="2" borderId="26" xfId="0" applyFill="1" applyBorder="1" applyAlignment="1">
      <alignment horizontal="right"/>
    </xf>
    <xf numFmtId="15" fontId="12" fillId="0" borderId="25" xfId="0" applyNumberFormat="1" applyFont="1" applyBorder="1" applyProtection="1">
      <protection locked="0"/>
    </xf>
    <xf numFmtId="0" fontId="5" fillId="2" borderId="27" xfId="0" applyFont="1" applyFill="1" applyBorder="1" applyAlignment="1">
      <alignment horizontal="right"/>
    </xf>
    <xf numFmtId="0" fontId="5" fillId="0" borderId="0" xfId="0" applyFont="1" applyAlignment="1">
      <alignment wrapText="1"/>
    </xf>
    <xf numFmtId="0" fontId="0" fillId="0" borderId="0" xfId="0" applyProtection="1">
      <protection locked="0"/>
    </xf>
    <xf numFmtId="15" fontId="27" fillId="0" borderId="4" xfId="0" applyNumberFormat="1" applyFont="1" applyBorder="1" applyAlignment="1" applyProtection="1">
      <alignment horizontal="center"/>
      <protection locked="0"/>
    </xf>
    <xf numFmtId="0" fontId="26" fillId="2" borderId="27" xfId="0" applyFont="1" applyFill="1" applyBorder="1" applyAlignment="1">
      <alignment horizontal="right"/>
    </xf>
    <xf numFmtId="0" fontId="26" fillId="0" borderId="0" xfId="0" applyFont="1"/>
    <xf numFmtId="0" fontId="26" fillId="0" borderId="0" xfId="0" applyFont="1" applyAlignment="1">
      <alignment wrapText="1"/>
    </xf>
    <xf numFmtId="0" fontId="7" fillId="2" borderId="15" xfId="0" applyFont="1" applyFill="1" applyBorder="1" applyAlignment="1">
      <alignment horizontal="center" wrapText="1"/>
    </xf>
    <xf numFmtId="0" fontId="10" fillId="0" borderId="0" xfId="0" applyFont="1" applyAlignment="1">
      <alignment vertical="center" wrapText="1"/>
    </xf>
    <xf numFmtId="0" fontId="16" fillId="0" borderId="0" xfId="0" applyFont="1"/>
    <xf numFmtId="0" fontId="10" fillId="0" borderId="0" xfId="0" applyFont="1" applyProtection="1">
      <protection locked="0"/>
    </xf>
    <xf numFmtId="0" fontId="11" fillId="0" borderId="0" xfId="0" applyFont="1" applyAlignment="1">
      <alignment vertical="center"/>
    </xf>
    <xf numFmtId="0" fontId="6" fillId="0" borderId="0" xfId="0" applyFont="1" applyAlignment="1">
      <alignment vertical="top"/>
    </xf>
    <xf numFmtId="0" fontId="5" fillId="0" borderId="0" xfId="0" applyFont="1" applyAlignment="1">
      <alignment vertical="top"/>
    </xf>
    <xf numFmtId="0" fontId="0" fillId="0" borderId="0" xfId="0" applyAlignment="1">
      <alignment vertical="top"/>
    </xf>
    <xf numFmtId="0" fontId="11" fillId="0" borderId="0" xfId="0" applyFont="1" applyAlignment="1">
      <alignment horizontal="right" vertical="center"/>
    </xf>
    <xf numFmtId="0" fontId="5" fillId="0" borderId="0" xfId="0" applyFont="1" applyAlignment="1">
      <alignment horizontal="right"/>
    </xf>
    <xf numFmtId="0" fontId="11" fillId="0" borderId="0" xfId="0" applyFont="1" applyAlignment="1">
      <alignment horizontal="left" vertical="center"/>
    </xf>
    <xf numFmtId="0" fontId="11" fillId="0" borderId="29" xfId="0" applyFont="1" applyBorder="1" applyAlignment="1">
      <alignment horizontal="right" vertical="center"/>
    </xf>
    <xf numFmtId="0" fontId="11" fillId="0" borderId="29" xfId="0" applyFont="1" applyBorder="1" applyAlignment="1">
      <alignment vertical="center"/>
    </xf>
    <xf numFmtId="0" fontId="11" fillId="0" borderId="29" xfId="0" applyFont="1" applyBorder="1" applyAlignment="1">
      <alignment horizontal="left" vertical="center"/>
    </xf>
    <xf numFmtId="0" fontId="10" fillId="0" borderId="0" xfId="0" quotePrefix="1" applyFont="1" applyAlignment="1">
      <alignment horizontal="left" vertical="center"/>
    </xf>
    <xf numFmtId="0" fontId="0" fillId="0" borderId="18" xfId="0" applyBorder="1" applyProtection="1">
      <protection locked="0"/>
    </xf>
    <xf numFmtId="0" fontId="28" fillId="0" borderId="0" xfId="0" applyFont="1" applyAlignment="1">
      <alignment horizontal="right" vertical="center"/>
    </xf>
    <xf numFmtId="0" fontId="16" fillId="0" borderId="0" xfId="0" applyFont="1" applyAlignment="1">
      <alignment vertical="top"/>
    </xf>
    <xf numFmtId="18" fontId="20" fillId="0" borderId="18" xfId="0" applyNumberFormat="1" applyFont="1" applyBorder="1" applyAlignment="1">
      <alignment horizontal="center" wrapText="1"/>
    </xf>
    <xf numFmtId="168" fontId="10" fillId="0" borderId="18" xfId="0" applyNumberFormat="1" applyFont="1" applyBorder="1" applyAlignment="1" applyProtection="1">
      <alignment horizontal="center"/>
      <protection locked="0"/>
    </xf>
    <xf numFmtId="0" fontId="10" fillId="0" borderId="0" xfId="0" applyFont="1" applyAlignment="1">
      <alignment horizontal="left" vertical="center"/>
    </xf>
    <xf numFmtId="0" fontId="28" fillId="0" borderId="0" xfId="0" applyFont="1" applyAlignment="1">
      <alignment horizontal="left" vertical="center"/>
    </xf>
    <xf numFmtId="15" fontId="26" fillId="2" borderId="2" xfId="0" applyNumberFormat="1" applyFont="1" applyFill="1" applyBorder="1" applyAlignment="1">
      <alignment horizontal="center"/>
    </xf>
    <xf numFmtId="168" fontId="10" fillId="0" borderId="0" xfId="0" applyNumberFormat="1" applyFont="1" applyAlignment="1" applyProtection="1">
      <alignment horizontal="center"/>
      <protection locked="0"/>
    </xf>
    <xf numFmtId="0" fontId="16" fillId="0" borderId="0" xfId="0" applyFont="1" applyAlignment="1">
      <alignment vertical="center" wrapText="1"/>
    </xf>
    <xf numFmtId="0" fontId="0" fillId="0" borderId="0" xfId="0" applyAlignment="1">
      <alignment horizontal="left"/>
    </xf>
    <xf numFmtId="0" fontId="5" fillId="0" borderId="0" xfId="0" applyFont="1" applyAlignment="1">
      <alignment horizontal="right" vertical="top"/>
    </xf>
    <xf numFmtId="15" fontId="5" fillId="0" borderId="0" xfId="0" applyNumberFormat="1" applyFont="1" applyAlignment="1">
      <alignment horizontal="left"/>
    </xf>
    <xf numFmtId="0" fontId="7" fillId="0" borderId="0" xfId="0" applyFont="1" applyAlignment="1">
      <alignment horizontal="right" vertical="top"/>
    </xf>
    <xf numFmtId="15" fontId="7" fillId="0" borderId="0" xfId="0" applyNumberFormat="1" applyFont="1" applyAlignment="1">
      <alignment horizontal="left"/>
    </xf>
    <xf numFmtId="0" fontId="5" fillId="2" borderId="25" xfId="0" applyFont="1" applyFill="1" applyBorder="1" applyAlignment="1">
      <alignment horizontal="right" vertical="center"/>
    </xf>
    <xf numFmtId="169" fontId="11" fillId="0" borderId="0" xfId="0" applyNumberFormat="1" applyFont="1" applyAlignment="1">
      <alignment vertical="center"/>
    </xf>
    <xf numFmtId="0" fontId="0" fillId="2" borderId="30" xfId="0" applyFill="1" applyBorder="1" applyAlignment="1">
      <alignment horizontal="right"/>
    </xf>
    <xf numFmtId="0" fontId="0" fillId="2" borderId="17" xfId="0" applyFill="1" applyBorder="1"/>
    <xf numFmtId="0" fontId="12" fillId="0" borderId="0" xfId="0" applyFont="1" applyProtection="1">
      <protection locked="0"/>
    </xf>
    <xf numFmtId="0" fontId="32" fillId="0" borderId="0" xfId="0" applyFont="1"/>
    <xf numFmtId="0" fontId="31" fillId="0" borderId="0" xfId="0" applyFont="1"/>
    <xf numFmtId="0" fontId="31" fillId="0" borderId="0" xfId="0" applyFont="1" applyAlignment="1">
      <alignment vertical="top" wrapText="1"/>
    </xf>
    <xf numFmtId="167" fontId="34" fillId="0" borderId="16" xfId="0" applyNumberFormat="1" applyFont="1" applyBorder="1" applyAlignment="1">
      <alignment horizontal="center" wrapText="1"/>
    </xf>
    <xf numFmtId="0" fontId="34" fillId="0" borderId="17" xfId="0" applyFont="1" applyBorder="1" applyAlignment="1">
      <alignment horizontal="center" vertical="center"/>
    </xf>
    <xf numFmtId="0" fontId="35" fillId="0" borderId="16" xfId="0" applyFont="1" applyBorder="1" applyAlignment="1">
      <alignment horizontal="center" vertical="center" wrapText="1"/>
    </xf>
    <xf numFmtId="0" fontId="8" fillId="0" borderId="28" xfId="0" applyFont="1" applyBorder="1"/>
    <xf numFmtId="167" fontId="35" fillId="0" borderId="16" xfId="0" applyNumberFormat="1" applyFont="1" applyBorder="1" applyAlignment="1">
      <alignment horizontal="center" vertical="center"/>
    </xf>
    <xf numFmtId="18" fontId="35" fillId="0" borderId="16" xfId="0" applyNumberFormat="1" applyFont="1" applyBorder="1" applyAlignment="1">
      <alignment horizontal="center" vertical="center" wrapText="1"/>
    </xf>
    <xf numFmtId="0" fontId="8" fillId="0" borderId="16" xfId="0" applyFont="1" applyBorder="1"/>
    <xf numFmtId="167" fontId="34" fillId="0" borderId="7" xfId="0" applyNumberFormat="1" applyFont="1" applyBorder="1"/>
    <xf numFmtId="0" fontId="34" fillId="0" borderId="18" xfId="0" applyFont="1" applyBorder="1" applyAlignment="1">
      <alignment horizontal="center" vertical="center"/>
    </xf>
    <xf numFmtId="0" fontId="35" fillId="0" borderId="7" xfId="0" applyFont="1" applyBorder="1" applyAlignment="1">
      <alignment horizontal="center" vertical="center" wrapText="1"/>
    </xf>
    <xf numFmtId="0" fontId="8" fillId="0" borderId="7" xfId="0" applyFont="1" applyBorder="1"/>
    <xf numFmtId="0" fontId="34" fillId="0" borderId="16" xfId="0" applyFont="1" applyBorder="1" applyAlignment="1">
      <alignment horizontal="center" vertical="center"/>
    </xf>
    <xf numFmtId="166" fontId="20" fillId="0" borderId="16" xfId="0" applyNumberFormat="1" applyFont="1" applyBorder="1" applyAlignment="1">
      <alignment horizontal="center" vertical="center" wrapText="1"/>
    </xf>
    <xf numFmtId="165" fontId="20" fillId="0" borderId="7" xfId="0" applyNumberFormat="1" applyFont="1" applyBorder="1" applyAlignment="1">
      <alignment horizontal="center" vertical="center" wrapText="1"/>
    </xf>
    <xf numFmtId="0" fontId="31" fillId="0" borderId="0" xfId="0" applyFont="1" applyAlignment="1">
      <alignment horizontal="left" vertical="top" wrapText="1"/>
    </xf>
    <xf numFmtId="0" fontId="30" fillId="0" borderId="0" xfId="0" applyFont="1" applyAlignment="1">
      <alignment horizontal="right"/>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25" fillId="0" borderId="0" xfId="0" applyFont="1" applyAlignment="1">
      <alignment horizontal="center"/>
    </xf>
    <xf numFmtId="0" fontId="12" fillId="0" borderId="25" xfId="0" applyFont="1" applyBorder="1" applyAlignment="1" applyProtection="1">
      <alignment horizontal="center"/>
      <protection locked="0"/>
    </xf>
    <xf numFmtId="0" fontId="10" fillId="0" borderId="0" xfId="0" applyFont="1" applyAlignment="1">
      <alignment horizontal="right" vertical="center"/>
    </xf>
    <xf numFmtId="15" fontId="0" fillId="0" borderId="0" xfId="0" applyNumberFormat="1" applyAlignment="1">
      <alignment horizontal="left" vertical="top"/>
    </xf>
    <xf numFmtId="0" fontId="0" fillId="0" borderId="0" xfId="0" applyAlignment="1">
      <alignment horizontal="left" vertical="top"/>
    </xf>
    <xf numFmtId="0" fontId="35" fillId="0" borderId="19" xfId="0" applyFont="1" applyBorder="1" applyAlignment="1" applyProtection="1">
      <alignment horizontal="center" vertical="center" wrapText="1"/>
      <protection locked="0"/>
    </xf>
    <xf numFmtId="0" fontId="35" fillId="0" borderId="20"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29" fillId="0" borderId="0" xfId="0" applyFont="1" applyAlignment="1">
      <alignment horizontal="left" vertical="center"/>
    </xf>
    <xf numFmtId="0" fontId="7" fillId="2" borderId="9" xfId="0" applyFont="1" applyFill="1" applyBorder="1" applyAlignment="1">
      <alignment horizontal="center"/>
    </xf>
    <xf numFmtId="0" fontId="7" fillId="2" borderId="5" xfId="0" applyFont="1" applyFill="1" applyBorder="1" applyAlignment="1">
      <alignment horizontal="center"/>
    </xf>
    <xf numFmtId="0" fontId="7" fillId="2" borderId="10" xfId="0" applyFont="1" applyFill="1" applyBorder="1" applyAlignment="1">
      <alignment horizontal="center"/>
    </xf>
    <xf numFmtId="0" fontId="10" fillId="0" borderId="0" xfId="0" applyFont="1" applyAlignment="1">
      <alignment horizontal="right"/>
    </xf>
    <xf numFmtId="0" fontId="6" fillId="0" borderId="20" xfId="0" applyFont="1" applyBorder="1" applyAlignment="1">
      <alignment horizontal="center" vertical="top"/>
    </xf>
    <xf numFmtId="0" fontId="10" fillId="0" borderId="0" xfId="0" applyFont="1" applyAlignment="1">
      <alignment horizontal="center" vertical="center"/>
    </xf>
    <xf numFmtId="0" fontId="5" fillId="0" borderId="0" xfId="0" applyFont="1" applyAlignment="1">
      <alignment horizontal="left"/>
    </xf>
    <xf numFmtId="0" fontId="18" fillId="0" borderId="18" xfId="0"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horizontal="left" vertical="center"/>
    </xf>
    <xf numFmtId="2" fontId="0" fillId="0" borderId="0" xfId="0" applyNumberFormat="1" applyAlignment="1">
      <alignment horizontal="center"/>
    </xf>
    <xf numFmtId="2" fontId="0" fillId="0" borderId="18" xfId="0" applyNumberFormat="1" applyBorder="1" applyAlignment="1">
      <alignment horizontal="center"/>
    </xf>
    <xf numFmtId="0" fontId="0" fillId="0" borderId="0" xfId="0" applyAlignment="1">
      <alignment horizontal="center"/>
    </xf>
    <xf numFmtId="0" fontId="0" fillId="0" borderId="18" xfId="0" applyBorder="1" applyAlignment="1">
      <alignment horizontal="center"/>
    </xf>
    <xf numFmtId="0" fontId="33" fillId="0" borderId="0" xfId="0" applyFont="1" applyAlignment="1">
      <alignment horizontal="center" vertical="center" wrapText="1"/>
    </xf>
    <xf numFmtId="0" fontId="9" fillId="0" borderId="0" xfId="0" applyFont="1" applyAlignment="1">
      <alignment horizontal="center"/>
    </xf>
    <xf numFmtId="0" fontId="10" fillId="0" borderId="0" xfId="0" applyFont="1" applyAlignment="1">
      <alignment horizontal="center" vertical="center" wrapText="1"/>
    </xf>
    <xf numFmtId="169" fontId="5" fillId="0" borderId="25" xfId="0" applyNumberFormat="1" applyFont="1" applyBorder="1" applyAlignment="1" applyProtection="1">
      <alignment horizontal="left"/>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ECF1BBFE-B8D6-B945-BD9D-81491EC69EE0}"/>
            </a:ext>
          </a:extLst>
        </xdr:cNvPr>
        <xdr:cNvPicPr>
          <a:picLocks noChangeAspect="1"/>
        </xdr:cNvPicPr>
      </xdr:nvPicPr>
      <xdr:blipFill>
        <a:blip xmlns:r="http://schemas.openxmlformats.org/officeDocument/2006/relationships" r:embed="rId1"/>
        <a:stretch>
          <a:fillRect/>
        </a:stretch>
      </xdr:blipFill>
      <xdr:spPr>
        <a:xfrm>
          <a:off x="101600" y="430977"/>
          <a:ext cx="1714900" cy="1322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2</xdr:row>
      <xdr:rowOff>24577</xdr:rowOff>
    </xdr:from>
    <xdr:to>
      <xdr:col>2</xdr:col>
      <xdr:colOff>698900</xdr:colOff>
      <xdr:row>6</xdr:row>
      <xdr:rowOff>13272</xdr:rowOff>
    </xdr:to>
    <xdr:pic>
      <xdr:nvPicPr>
        <xdr:cNvPr id="2" name="Picture 1">
          <a:extLst>
            <a:ext uri="{FF2B5EF4-FFF2-40B4-BE49-F238E27FC236}">
              <a16:creationId xmlns:a16="http://schemas.microsoft.com/office/drawing/2014/main" id="{6A28C82B-1825-634A-A3AA-8400CD049D08}"/>
            </a:ext>
          </a:extLst>
        </xdr:cNvPr>
        <xdr:cNvPicPr>
          <a:picLocks noChangeAspect="1"/>
        </xdr:cNvPicPr>
      </xdr:nvPicPr>
      <xdr:blipFill>
        <a:blip xmlns:r="http://schemas.openxmlformats.org/officeDocument/2006/relationships" r:embed="rId1"/>
        <a:stretch>
          <a:fillRect/>
        </a:stretch>
      </xdr:blipFill>
      <xdr:spPr>
        <a:xfrm>
          <a:off x="101600" y="418277"/>
          <a:ext cx="1714900" cy="13221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0"/>
  <sheetViews>
    <sheetView showGridLines="0" tabSelected="1" zoomScale="125" zoomScaleNormal="140" zoomScalePageLayoutView="135" workbookViewId="0">
      <selection activeCell="B13" sqref="B13"/>
    </sheetView>
  </sheetViews>
  <sheetFormatPr baseColWidth="10" defaultColWidth="8.83203125" defaultRowHeight="13" x14ac:dyDescent="0.15"/>
  <cols>
    <col min="1" max="1" width="16.5" style="1" customWidth="1"/>
    <col min="2" max="2" width="10.83203125" customWidth="1"/>
    <col min="3" max="3" width="1" style="2" hidden="1" customWidth="1"/>
    <col min="4" max="4" width="8.33203125" customWidth="1"/>
    <col min="5" max="5" width="17" bestFit="1" customWidth="1"/>
    <col min="6" max="11" width="34.1640625" customWidth="1"/>
    <col min="12" max="15" width="17.83203125" hidden="1" customWidth="1"/>
    <col min="16" max="16" width="2.1640625" customWidth="1"/>
  </cols>
  <sheetData>
    <row r="1" spans="1:33" ht="20" customHeight="1" x14ac:dyDescent="0.2">
      <c r="A1" s="108" t="s">
        <v>55</v>
      </c>
      <c r="B1" s="108"/>
      <c r="C1" s="108"/>
      <c r="D1" s="108"/>
      <c r="E1" s="108"/>
      <c r="F1" s="108"/>
      <c r="G1" s="108"/>
      <c r="H1" s="40" t="s">
        <v>53</v>
      </c>
      <c r="Q1" s="102" t="s">
        <v>71</v>
      </c>
      <c r="R1" s="102"/>
      <c r="S1" s="102"/>
      <c r="T1" s="102"/>
      <c r="U1" s="102"/>
      <c r="V1" s="102"/>
      <c r="W1" s="102"/>
      <c r="X1" s="102"/>
      <c r="Y1" s="102"/>
      <c r="Z1" s="102"/>
      <c r="AA1" s="102"/>
      <c r="AB1" s="102"/>
      <c r="AC1" s="102"/>
      <c r="AD1" s="102"/>
      <c r="AE1" s="102"/>
      <c r="AF1" s="102"/>
      <c r="AG1" s="87"/>
    </row>
    <row r="2" spans="1:33" ht="13" customHeight="1" thickBot="1" x14ac:dyDescent="0.2">
      <c r="H2" s="44"/>
      <c r="I2" s="44"/>
      <c r="Q2" s="102"/>
      <c r="R2" s="102"/>
      <c r="S2" s="102"/>
      <c r="T2" s="102"/>
      <c r="U2" s="102"/>
      <c r="V2" s="102"/>
      <c r="W2" s="102"/>
      <c r="X2" s="102"/>
      <c r="Y2" s="102"/>
      <c r="Z2" s="102"/>
      <c r="AA2" s="102"/>
      <c r="AB2" s="102"/>
      <c r="AC2" s="102"/>
      <c r="AD2" s="102"/>
      <c r="AE2" s="102"/>
      <c r="AF2" s="102"/>
      <c r="AG2" s="87"/>
    </row>
    <row r="3" spans="1:33" s="48" customFormat="1" ht="13" customHeight="1" thickBot="1" x14ac:dyDescent="0.2">
      <c r="A3" s="47" t="s">
        <v>52</v>
      </c>
      <c r="B3" s="72">
        <v>45393</v>
      </c>
      <c r="H3" s="49"/>
      <c r="I3" s="49"/>
      <c r="Q3" s="102"/>
      <c r="R3" s="102"/>
      <c r="S3" s="102"/>
      <c r="T3" s="102"/>
      <c r="U3" s="102"/>
      <c r="V3" s="102"/>
      <c r="W3" s="102"/>
      <c r="X3" s="102"/>
      <c r="Y3" s="102"/>
      <c r="Z3" s="102"/>
      <c r="AA3" s="102"/>
      <c r="AB3" s="102"/>
      <c r="AC3" s="102"/>
      <c r="AD3" s="102"/>
      <c r="AE3" s="102"/>
      <c r="AF3" s="102"/>
      <c r="AG3" s="87"/>
    </row>
    <row r="4" spans="1:33" ht="13" customHeight="1" x14ac:dyDescent="0.15">
      <c r="A4" s="43" t="s">
        <v>54</v>
      </c>
      <c r="B4" s="46">
        <v>45472</v>
      </c>
      <c r="C4"/>
      <c r="H4" s="44"/>
      <c r="I4" s="44"/>
      <c r="Q4" s="102"/>
      <c r="R4" s="102"/>
      <c r="S4" s="102"/>
      <c r="T4" s="102"/>
      <c r="U4" s="102"/>
      <c r="V4" s="102"/>
      <c r="W4" s="102"/>
      <c r="X4" s="102"/>
      <c r="Y4" s="102"/>
      <c r="Z4" s="102"/>
      <c r="AA4" s="102"/>
      <c r="AB4" s="102"/>
      <c r="AC4" s="102"/>
      <c r="AD4" s="102"/>
      <c r="AE4" s="102"/>
      <c r="AF4" s="102"/>
      <c r="AG4" s="87"/>
    </row>
    <row r="5" spans="1:33" ht="7" customHeight="1" thickBot="1" x14ac:dyDescent="0.2">
      <c r="H5" s="44"/>
      <c r="I5" s="44"/>
      <c r="Q5" s="87"/>
      <c r="R5" s="87"/>
      <c r="S5" s="87"/>
      <c r="T5" s="87"/>
      <c r="U5" s="87"/>
      <c r="V5" s="87"/>
      <c r="W5" s="87"/>
      <c r="X5" s="87"/>
      <c r="Y5" s="87"/>
      <c r="Z5" s="87"/>
      <c r="AA5" s="87"/>
      <c r="AB5" s="87"/>
      <c r="AC5" s="87"/>
      <c r="AD5" s="87"/>
      <c r="AE5" s="87"/>
      <c r="AF5" s="87"/>
      <c r="AG5" s="87"/>
    </row>
    <row r="6" spans="1:33" ht="18" x14ac:dyDescent="0.2">
      <c r="A6" s="10" t="s">
        <v>15</v>
      </c>
      <c r="B6" s="30">
        <v>200</v>
      </c>
      <c r="C6">
        <f>IF(Brevet_Length&gt;=1200,Brevet_Length,IF(Brevet_Length&gt;=1000,1000,IF(Brevet_Length&gt;=600,600,IF(Brevet_Length&gt;=400,400,IF(Brevet_Length&gt;=300,300,IF(Brevet_Length&gt;=200,200,100))))))</f>
        <v>200</v>
      </c>
      <c r="J6" s="103" t="s">
        <v>40</v>
      </c>
      <c r="K6" s="103"/>
      <c r="Q6" s="85" t="s">
        <v>41</v>
      </c>
      <c r="R6" s="85"/>
      <c r="S6" s="85"/>
      <c r="T6" s="85"/>
      <c r="U6" s="85"/>
      <c r="V6" s="85"/>
      <c r="W6" s="85"/>
      <c r="X6" s="86"/>
      <c r="Y6" s="86"/>
      <c r="Z6" s="86"/>
    </row>
    <row r="7" spans="1:33" ht="14" x14ac:dyDescent="0.15">
      <c r="A7" s="11" t="s">
        <v>16</v>
      </c>
      <c r="B7" s="83">
        <f>IF(brevet=1200,90,IF(brevet=1000,75,IF(brevet=600,40,IF(brevet=400,27,IF(brevet=300,20,IF(brevet=200,13.5,IF(brevet&lt;200,L7,0)))))))</f>
        <v>13.5</v>
      </c>
      <c r="L7">
        <f>IF(Brevet_Length=150,10.5,IF(Brevet_Length=100,7,IF(Brevet_Length=50,3.5,IF(Brevet_Length=25, 2,0))))</f>
        <v>0</v>
      </c>
      <c r="Q7" s="86" t="s">
        <v>42</v>
      </c>
      <c r="R7" s="86"/>
      <c r="S7" s="86"/>
      <c r="T7" s="86"/>
      <c r="U7" s="86"/>
      <c r="V7" s="86"/>
      <c r="W7" s="86"/>
      <c r="X7" s="86"/>
      <c r="Y7" s="86"/>
      <c r="Z7" s="86"/>
    </row>
    <row r="8" spans="1:33" ht="18" x14ac:dyDescent="0.2">
      <c r="A8" s="82" t="s">
        <v>17</v>
      </c>
      <c r="B8" s="109" t="s">
        <v>74</v>
      </c>
      <c r="C8" s="109"/>
      <c r="D8" s="109"/>
      <c r="E8" s="109"/>
      <c r="F8" s="109"/>
      <c r="G8" s="84"/>
      <c r="H8" s="84"/>
      <c r="I8" s="16"/>
      <c r="J8" s="16"/>
      <c r="K8" s="16"/>
      <c r="Q8" s="85" t="s">
        <v>43</v>
      </c>
      <c r="R8" s="86"/>
      <c r="S8" s="86"/>
      <c r="T8" s="86"/>
      <c r="U8" s="86"/>
      <c r="V8" s="86"/>
      <c r="W8" s="86"/>
      <c r="X8" s="86"/>
      <c r="Y8" s="86"/>
      <c r="Z8" s="86"/>
    </row>
    <row r="9" spans="1:33" ht="18" x14ac:dyDescent="0.2">
      <c r="A9" s="11" t="s">
        <v>18</v>
      </c>
      <c r="B9" s="31">
        <v>5406</v>
      </c>
      <c r="C9" s="13"/>
      <c r="F9" s="14"/>
      <c r="G9" s="14"/>
      <c r="H9" s="14"/>
      <c r="I9" s="14"/>
      <c r="J9" s="14"/>
      <c r="K9" s="14"/>
      <c r="Q9" s="85" t="s">
        <v>44</v>
      </c>
      <c r="R9" s="86"/>
      <c r="S9" s="86"/>
      <c r="T9" s="86"/>
      <c r="U9" s="86"/>
      <c r="V9" s="86"/>
      <c r="W9" s="86"/>
      <c r="X9" s="86"/>
      <c r="Y9" s="86"/>
      <c r="Z9" s="86"/>
    </row>
    <row r="10" spans="1:33" ht="18" x14ac:dyDescent="0.2">
      <c r="A10" s="18" t="s">
        <v>32</v>
      </c>
      <c r="B10" s="32">
        <v>45486</v>
      </c>
      <c r="E10" s="80" t="s">
        <v>66</v>
      </c>
      <c r="F10" s="140" t="s">
        <v>75</v>
      </c>
      <c r="Q10" s="85" t="s">
        <v>45</v>
      </c>
      <c r="R10" s="86"/>
      <c r="S10" s="86"/>
      <c r="T10" s="86"/>
      <c r="U10" s="86"/>
      <c r="V10" s="86"/>
      <c r="W10" s="86"/>
      <c r="X10" s="86"/>
      <c r="Y10" s="86"/>
      <c r="Z10" s="86"/>
    </row>
    <row r="11" spans="1:33" ht="6" customHeight="1" x14ac:dyDescent="0.15">
      <c r="B11" s="45"/>
      <c r="Q11" s="86"/>
      <c r="R11" s="86"/>
      <c r="S11" s="86"/>
      <c r="T11" s="86"/>
      <c r="U11" s="86"/>
      <c r="V11" s="86"/>
      <c r="W11" s="86"/>
      <c r="X11" s="86"/>
      <c r="Y11" s="86"/>
      <c r="Z11" s="86"/>
    </row>
    <row r="12" spans="1:33" ht="18" customHeight="1" thickBot="1" x14ac:dyDescent="0.25">
      <c r="A12" s="41" t="s">
        <v>19</v>
      </c>
      <c r="B12" s="42">
        <v>45486</v>
      </c>
      <c r="Q12" s="85" t="s">
        <v>49</v>
      </c>
      <c r="R12" s="86"/>
      <c r="S12" s="86"/>
      <c r="T12" s="86"/>
      <c r="U12" s="86"/>
      <c r="V12" s="86"/>
      <c r="W12" s="86"/>
      <c r="X12" s="86"/>
      <c r="Y12" s="86"/>
      <c r="Z12" s="86"/>
    </row>
    <row r="13" spans="1:33" ht="19" thickBot="1" x14ac:dyDescent="0.25">
      <c r="A13" s="9" t="s">
        <v>20</v>
      </c>
      <c r="B13" s="33">
        <v>0.29166666666666669</v>
      </c>
      <c r="D13" s="104" t="s">
        <v>51</v>
      </c>
      <c r="E13" s="105"/>
      <c r="F13" s="105"/>
      <c r="G13" s="105"/>
      <c r="H13" s="105"/>
      <c r="I13" s="106" t="s">
        <v>47</v>
      </c>
      <c r="J13" s="105"/>
      <c r="K13" s="107"/>
      <c r="Q13" s="85" t="s">
        <v>48</v>
      </c>
      <c r="R13" s="86"/>
      <c r="S13" s="86"/>
      <c r="T13" s="86"/>
      <c r="U13" s="86"/>
      <c r="V13" s="86"/>
      <c r="W13" s="86"/>
      <c r="X13" s="86"/>
      <c r="Y13" s="86"/>
      <c r="Z13" s="86"/>
    </row>
    <row r="14" spans="1:33" ht="15" thickBot="1" x14ac:dyDescent="0.2">
      <c r="D14" s="5" t="s">
        <v>21</v>
      </c>
      <c r="E14" s="6" t="s">
        <v>22</v>
      </c>
      <c r="F14" s="24" t="s">
        <v>23</v>
      </c>
      <c r="G14" s="24" t="s">
        <v>24</v>
      </c>
      <c r="H14" s="25" t="s">
        <v>25</v>
      </c>
      <c r="I14" s="6" t="s">
        <v>37</v>
      </c>
      <c r="J14" s="6" t="s">
        <v>38</v>
      </c>
      <c r="K14" s="7" t="s">
        <v>39</v>
      </c>
      <c r="L14" t="s">
        <v>0</v>
      </c>
      <c r="M14" t="s">
        <v>1</v>
      </c>
      <c r="N14" t="s">
        <v>2</v>
      </c>
      <c r="O14" t="s">
        <v>3</v>
      </c>
      <c r="Q14" s="85" t="s">
        <v>67</v>
      </c>
      <c r="R14" s="86"/>
      <c r="S14" s="86"/>
      <c r="T14" s="86"/>
      <c r="U14" s="86"/>
      <c r="V14" s="86"/>
      <c r="W14" s="86"/>
      <c r="X14" s="86"/>
      <c r="Y14" s="86"/>
      <c r="Z14" s="86"/>
    </row>
    <row r="15" spans="1:33" ht="17" customHeight="1" x14ac:dyDescent="0.15">
      <c r="C15" s="2" t="s">
        <v>4</v>
      </c>
      <c r="D15" s="15">
        <v>0</v>
      </c>
      <c r="E15" s="34" t="s">
        <v>76</v>
      </c>
      <c r="F15" s="35" t="s">
        <v>117</v>
      </c>
      <c r="G15" s="35" t="s">
        <v>118</v>
      </c>
      <c r="H15" s="35" t="s">
        <v>115</v>
      </c>
      <c r="I15" s="35" t="s">
        <v>100</v>
      </c>
      <c r="J15" s="35"/>
      <c r="K15" s="36"/>
      <c r="L15" s="3">
        <f>Start_date+Start_time</f>
        <v>45486.291666666664</v>
      </c>
      <c r="M15" s="3">
        <f>L15+"1:00"</f>
        <v>45486.333333333328</v>
      </c>
      <c r="N15" s="4">
        <f>IF(ISBLANK(Distance),"",Open Control_1)</f>
        <v>45486.291666666664</v>
      </c>
      <c r="O15" s="4">
        <f>IF(ISBLANK(Distance),"",Close Control_1)</f>
        <v>45486.333333333328</v>
      </c>
      <c r="Q15" s="85" t="s">
        <v>72</v>
      </c>
      <c r="R15" s="86"/>
      <c r="S15" s="86"/>
      <c r="T15" s="86"/>
      <c r="U15" s="86"/>
      <c r="V15" s="86"/>
      <c r="W15" s="86"/>
      <c r="X15" s="86"/>
      <c r="Y15" s="86"/>
      <c r="Z15" s="86"/>
    </row>
    <row r="16" spans="1:33" ht="17" customHeight="1" x14ac:dyDescent="0.15">
      <c r="B16" s="38"/>
      <c r="C16" s="2" t="s">
        <v>5</v>
      </c>
      <c r="D16" s="15">
        <v>34.299999999999997</v>
      </c>
      <c r="E16" s="34" t="s">
        <v>77</v>
      </c>
      <c r="F16" s="35" t="s">
        <v>117</v>
      </c>
      <c r="G16" s="35" t="s">
        <v>118</v>
      </c>
      <c r="H16" s="35" t="s">
        <v>90</v>
      </c>
      <c r="I16" s="36" t="s">
        <v>116</v>
      </c>
      <c r="J16" s="35"/>
      <c r="K16" s="36" t="s">
        <v>108</v>
      </c>
      <c r="L16">
        <f>IF(ISBLANK(Distance),"",IF(Distance&gt;1000,(Distance-1000)/26+33.0847,(IF(Distance&gt;600,(Distance-600)/28+18.799,(IF(Distance&gt;400,(Distance-400)/30+12.1324,(IF(Distance&gt;200,(Distance-200)/32+5.8824,Distance/34))))))))</f>
        <v>1.0088235294117647</v>
      </c>
      <c r="M16">
        <f>IF(ISBLANK(Distance),"",IF(Distance&gt;=brevet,D16200IF(brevet&gt;1200,(brevet-1200)*75/1000+90,Max_time),IF(Distance&gt;1200,(Distance-1200)*75/1000+90,IF(Distance&gt;1000,(Distance-1000)/(1000/75)+75,IF(Distance&gt;600,(Distance-600)/(400/35)+40,IF(Distance&lt;=60,(Distance/20+1),Distance/15))))))</f>
        <v>2.7149999999999999</v>
      </c>
      <c r="N16" s="4">
        <f>IF(ISBLANK(Distance),"",Open_time Control_1+(INT(Open)&amp;":"&amp;IF(ROUND(((Open-INT(Open))*60),0)&lt;10,0,"")&amp;ROUND(((Open-INT(Open))*60),0)))</f>
        <v>45486.334027777775</v>
      </c>
      <c r="O16" s="4">
        <f>IF(ISBLANK(Distance),"",Open_time Control_1+(INT(Close)&amp;":"&amp;IF(ROUND(((Close-INT(Close))*60),0)&lt;10,0,"")&amp;ROUND(((Close-INT(Close))*60),0)))</f>
        <v>45486.404861111107</v>
      </c>
      <c r="Q16" s="85" t="s">
        <v>68</v>
      </c>
      <c r="R16" s="86"/>
      <c r="S16" s="86"/>
      <c r="T16" s="86"/>
      <c r="U16" s="86"/>
      <c r="V16" s="86"/>
      <c r="W16" s="86"/>
      <c r="X16" s="86"/>
      <c r="Y16" s="86"/>
      <c r="Z16" s="86"/>
    </row>
    <row r="17" spans="2:26" ht="17" customHeight="1" x14ac:dyDescent="0.15">
      <c r="B17" s="38"/>
      <c r="C17" s="2" t="s">
        <v>6</v>
      </c>
      <c r="D17" s="15">
        <v>77.400000000000006</v>
      </c>
      <c r="E17" s="34" t="s">
        <v>78</v>
      </c>
      <c r="F17" s="35" t="s">
        <v>111</v>
      </c>
      <c r="G17" s="36" t="s">
        <v>103</v>
      </c>
      <c r="H17" s="36" t="s">
        <v>104</v>
      </c>
      <c r="I17" s="35" t="s">
        <v>105</v>
      </c>
      <c r="J17" s="35" t="s">
        <v>106</v>
      </c>
      <c r="K17" s="36" t="s">
        <v>107</v>
      </c>
      <c r="L17">
        <f>IF(ISBLANK(Distance),"",IF(Distance&gt;1000,(Distance-1000)/26+33.0847,(IF(Distance&gt;600,(Distance-600)/28+18.799,(IF(Distance&gt;400,(Distance-400)/30+12.1324,(IF(Distance&gt;200,(Distance-200)/32+5.8824,Distance/34))))))))</f>
        <v>2.2764705882352945</v>
      </c>
      <c r="M17">
        <f t="shared" ref="M17:M24" si="0">IF(ISBLANK(Distance),"",IF(Distance&gt;=brevet,IF(brevet&gt;1200,(brevet-1200)*75/1000+90,Max_time),IF(Distance&gt;1200,(Distance-1200)*75/1000+90,IF(Distance&gt;1000,(Distance-1000)/(1000/75)+75,IF(Distance&gt;600,(Distance-600)/(400/35)+40,IF(Distance&lt;=60,(Distance/20+1),Distance/15))))))</f>
        <v>5.16</v>
      </c>
      <c r="N17" s="4">
        <f>IF(ISBLANK(Distance),"",Open_time Control_1+(INT(Open)&amp;":"&amp;IF(ROUND(((Open-INT(Open))*60),0)&lt;10,0,"")&amp;ROUND(((Open-INT(Open))*60),0)))</f>
        <v>45486.38680555555</v>
      </c>
      <c r="O17" s="4">
        <f>IF(ISBLANK(Distance),"",Open_time Control_1+(INT(Close)&amp;":"&amp;IF(ROUND(((Close-INT(Close))*60),0)&lt;10,0,"")&amp;ROUND(((Close-INT(Close))*60),0)))</f>
        <v>45486.506944444445</v>
      </c>
      <c r="Q17" s="85" t="s">
        <v>46</v>
      </c>
      <c r="R17" s="86"/>
      <c r="S17" s="86"/>
      <c r="T17" s="86"/>
      <c r="U17" s="86"/>
      <c r="V17" s="86"/>
      <c r="W17" s="86"/>
      <c r="X17" s="86"/>
      <c r="Y17" s="86"/>
      <c r="Z17" s="86"/>
    </row>
    <row r="18" spans="2:26" ht="17" customHeight="1" x14ac:dyDescent="0.15">
      <c r="B18" s="38"/>
      <c r="C18" s="2" t="s">
        <v>7</v>
      </c>
      <c r="D18" s="15">
        <v>104.9</v>
      </c>
      <c r="E18" s="34" t="s">
        <v>79</v>
      </c>
      <c r="F18" s="35" t="s">
        <v>119</v>
      </c>
      <c r="G18" s="36" t="s">
        <v>120</v>
      </c>
      <c r="H18" s="36" t="s">
        <v>91</v>
      </c>
      <c r="I18" s="35" t="s">
        <v>92</v>
      </c>
      <c r="J18" s="35" t="s">
        <v>93</v>
      </c>
      <c r="K18" s="36" t="s">
        <v>94</v>
      </c>
      <c r="L18">
        <f t="shared" ref="L18:L24" si="1">IF(ISBLANK(Distance),"",IF(Distance&gt;1000,(Distance-1000)/26+33.0847,(IF(Distance&gt;600,(Distance-600)/28+18.799,(IF(Distance&gt;400,(Distance-400)/30+12.1324,(IF(Distance&gt;200,(Distance-200)/32+5.8824,Distance/34))))))))</f>
        <v>3.085294117647059</v>
      </c>
      <c r="M18">
        <f t="shared" si="0"/>
        <v>6.9933333333333341</v>
      </c>
      <c r="N18" s="4">
        <f>IF(ISBLANK(Distance),"",Open_time Control_1+(INT(Open)&amp;":"&amp;IF(ROUND(((Open-INT(Open))*60),0)&lt;10,0,"")&amp;ROUND(((Open-INT(Open))*60),0)))</f>
        <v>45486.420138888883</v>
      </c>
      <c r="O18" s="4">
        <f>IF(ISBLANK(Distance),"",Open_time Control_1+(INT(Close)&amp;":"&amp;IF(ROUND(((Close-INT(Close))*60),0)&lt;10,0,"")&amp;ROUND(((Close-INT(Close))*60),0)))</f>
        <v>45486.583333333328</v>
      </c>
    </row>
    <row r="19" spans="2:26" ht="17" customHeight="1" x14ac:dyDescent="0.15">
      <c r="B19" s="38"/>
      <c r="C19" s="2" t="s">
        <v>8</v>
      </c>
      <c r="D19" s="15">
        <v>152.5</v>
      </c>
      <c r="E19" s="34" t="s">
        <v>76</v>
      </c>
      <c r="F19" s="35" t="s">
        <v>95</v>
      </c>
      <c r="G19" s="35" t="s">
        <v>112</v>
      </c>
      <c r="H19" s="36" t="s">
        <v>104</v>
      </c>
      <c r="I19" s="35" t="s">
        <v>113</v>
      </c>
      <c r="J19" s="35" t="s">
        <v>114</v>
      </c>
      <c r="K19" s="36" t="s">
        <v>107</v>
      </c>
      <c r="L19">
        <f t="shared" si="1"/>
        <v>4.4852941176470589</v>
      </c>
      <c r="M19">
        <f t="shared" si="0"/>
        <v>10.166666666666666</v>
      </c>
      <c r="N19" s="4">
        <f>IF(ISBLANK(Distance),"",Open_time Control_1+(INT(Open)&amp;":"&amp;IF(ROUND(((Open-INT(Open))*60),0)&lt;10,0,"")&amp;ROUND(((Open-INT(Open))*60),0)))</f>
        <v>45486.478472222218</v>
      </c>
      <c r="O19" s="4">
        <f>IF(ISBLANK(Distance),"",Open_time Control_1+(INT(Close)&amp;":"&amp;IF(ROUND(((Close-INT(Close))*60),0)&lt;10,0,"")&amp;ROUND(((Close-INT(Close))*60),0)))</f>
        <v>45486.715277777774</v>
      </c>
      <c r="Q19" s="40"/>
    </row>
    <row r="20" spans="2:26" ht="17" customHeight="1" x14ac:dyDescent="0.15">
      <c r="B20" s="38"/>
      <c r="C20" s="2" t="s">
        <v>9</v>
      </c>
      <c r="D20" s="15">
        <v>167.7</v>
      </c>
      <c r="E20" s="34" t="s">
        <v>78</v>
      </c>
      <c r="F20" s="35" t="s">
        <v>82</v>
      </c>
      <c r="G20" s="36" t="s">
        <v>83</v>
      </c>
      <c r="H20" s="35"/>
      <c r="I20" s="35" t="s">
        <v>101</v>
      </c>
      <c r="J20" s="35"/>
      <c r="K20" s="36" t="s">
        <v>102</v>
      </c>
      <c r="L20">
        <f t="shared" si="1"/>
        <v>4.9323529411764699</v>
      </c>
      <c r="M20">
        <f t="shared" si="0"/>
        <v>11.18</v>
      </c>
      <c r="N20" s="4">
        <f>IF(ISBLANK(Distance),"",Open_time Control_1+(INT(Open)&amp;":"&amp;IF(ROUND(((Open-INT(Open))*60),0)&lt;10,0,"")&amp;ROUND(((Open-INT(Open))*60),0)))</f>
        <v>45486.49722222222</v>
      </c>
      <c r="O20" s="4">
        <f>IF(ISBLANK(Distance),"",Open_time Control_1+(INT(Close)&amp;":"&amp;IF(ROUND(((Close-INT(Close))*60),0)&lt;10,0,"")&amp;ROUND(((Close-INT(Close))*60),0)))</f>
        <v>45486.757638888885</v>
      </c>
    </row>
    <row r="21" spans="2:26" ht="17" customHeight="1" x14ac:dyDescent="0.15">
      <c r="B21" s="38"/>
      <c r="C21" s="2" t="s">
        <v>10</v>
      </c>
      <c r="D21" s="15">
        <v>179.7</v>
      </c>
      <c r="E21" s="34" t="s">
        <v>80</v>
      </c>
      <c r="F21" s="35" t="s">
        <v>84</v>
      </c>
      <c r="G21" s="36" t="s">
        <v>85</v>
      </c>
      <c r="H21" s="35"/>
      <c r="I21" s="35" t="s">
        <v>86</v>
      </c>
      <c r="J21" s="35"/>
      <c r="K21" s="35" t="s">
        <v>87</v>
      </c>
      <c r="L21">
        <f t="shared" si="1"/>
        <v>5.2852941176470587</v>
      </c>
      <c r="M21">
        <f t="shared" si="0"/>
        <v>11.979999999999999</v>
      </c>
      <c r="N21" s="4">
        <f>IF(ISBLANK(Distance),"",Open_time Control_1+(INT(Open)&amp;":"&amp;IF(ROUND(((Open-INT(Open))*60),0)&lt;10,0,"")&amp;ROUND(((Open-INT(Open))*60),0)))</f>
        <v>45486.51180555555</v>
      </c>
      <c r="O21" s="4">
        <f>IF(ISBLANK(Distance),"",Open_time Control_1+(INT(Close)&amp;":"&amp;IF(ROUND(((Close-INT(Close))*60),0)&lt;10,0,"")&amp;ROUND(((Close-INT(Close))*60),0)))</f>
        <v>45486.790972222218</v>
      </c>
    </row>
    <row r="22" spans="2:26" ht="17" customHeight="1" x14ac:dyDescent="0.15">
      <c r="B22" s="38"/>
      <c r="C22" s="2" t="s">
        <v>11</v>
      </c>
      <c r="D22" s="15">
        <v>188.4</v>
      </c>
      <c r="E22" s="34" t="s">
        <v>81</v>
      </c>
      <c r="F22" s="35" t="s">
        <v>88</v>
      </c>
      <c r="G22" s="36" t="s">
        <v>89</v>
      </c>
      <c r="H22" s="35"/>
      <c r="I22" s="35" t="s">
        <v>109</v>
      </c>
      <c r="J22" s="35"/>
      <c r="K22" s="36" t="s">
        <v>110</v>
      </c>
      <c r="L22">
        <f t="shared" si="1"/>
        <v>5.5411764705882351</v>
      </c>
      <c r="M22">
        <f t="shared" si="0"/>
        <v>12.56</v>
      </c>
      <c r="N22" s="4">
        <f>IF(ISBLANK(Distance),"",Open_time Control_1+(INT(Open)&amp;":"&amp;IF(ROUND(((Open-INT(Open))*60),0)&lt;10,0,"")&amp;ROUND(((Open-INT(Open))*60),0)))</f>
        <v>45486.522222222222</v>
      </c>
      <c r="O22" s="4">
        <f>IF(ISBLANK(Distance),"",Open_time Control_1+(INT(Close)&amp;":"&amp;IF(ROUND(((Close-INT(Close))*60),0)&lt;10,0,"")&amp;ROUND(((Close-INT(Close))*60),0)))</f>
        <v>45486.815277777772</v>
      </c>
    </row>
    <row r="23" spans="2:26" ht="17" customHeight="1" x14ac:dyDescent="0.15">
      <c r="B23" s="38"/>
      <c r="C23" s="2" t="s">
        <v>12</v>
      </c>
      <c r="D23" s="15">
        <v>200.3</v>
      </c>
      <c r="E23" s="34" t="s">
        <v>76</v>
      </c>
      <c r="F23" s="35" t="s">
        <v>117</v>
      </c>
      <c r="G23" s="35" t="s">
        <v>118</v>
      </c>
      <c r="H23" s="35" t="s">
        <v>115</v>
      </c>
      <c r="I23" s="35" t="s">
        <v>99</v>
      </c>
      <c r="J23" s="35"/>
      <c r="K23" s="36"/>
      <c r="L23">
        <f t="shared" si="1"/>
        <v>5.891775</v>
      </c>
      <c r="M23">
        <f t="shared" si="0"/>
        <v>13.5</v>
      </c>
      <c r="N23" s="4">
        <f>IF(ISBLANK(Distance),"",Open_time Control_1+(INT(Open)&amp;":"&amp;IF(ROUND(((Open-INT(Open))*60),0)&lt;10,0,"")&amp;ROUND(((Open-INT(Open))*60),0)))</f>
        <v>45486.537499999999</v>
      </c>
      <c r="O23" s="4">
        <f>IF(ISBLANK(Distance),"",Open_time Control_1+(INT(Close)&amp;":"&amp;IF(ROUND(((Close-INT(Close))*60),0)&lt;10,0,"")&amp;ROUND(((Close-INT(Close))*60),0)))</f>
        <v>45486.854166666664</v>
      </c>
    </row>
    <row r="24" spans="2:26" ht="17" customHeight="1" thickBot="1" x14ac:dyDescent="0.2">
      <c r="B24" s="38"/>
      <c r="C24" s="2" t="s">
        <v>13</v>
      </c>
      <c r="D24" s="20"/>
      <c r="E24" s="37"/>
      <c r="F24" s="35"/>
      <c r="G24" s="35"/>
      <c r="H24" s="36"/>
      <c r="I24" s="35"/>
      <c r="J24" s="35"/>
      <c r="K24" s="36"/>
      <c r="L24" t="str">
        <f t="shared" si="1"/>
        <v/>
      </c>
      <c r="M24" t="str">
        <f t="shared" si="0"/>
        <v/>
      </c>
      <c r="N24" s="4" t="str">
        <f>IF(ISBLANK(Distance),"",Open_time Control_1+(INT(Open)&amp;":"&amp;IF(ROUND(((Open-INT(Open))*60),0)&lt;10,0,"")&amp;ROUND(((Open-INT(Open))*60),0)))</f>
        <v/>
      </c>
      <c r="O24" s="4" t="str">
        <f>IF(ISBLANK(Distance),"",Open_time Control_1+(INT(Close)&amp;":"&amp;IF(ROUND(((Close-INT(Close))*60),0)&lt;10,0,"")&amp;ROUND(((Close-INT(Close))*60),0)))</f>
        <v/>
      </c>
    </row>
    <row r="25" spans="2:26" ht="7" customHeight="1" thickBot="1" x14ac:dyDescent="0.25">
      <c r="D25" s="26"/>
      <c r="E25" s="27"/>
      <c r="F25" s="28"/>
      <c r="G25" s="28"/>
      <c r="H25" s="28"/>
      <c r="I25" s="28"/>
      <c r="J25" s="28"/>
      <c r="K25" s="29"/>
      <c r="N25" s="4"/>
      <c r="O25" s="4"/>
    </row>
    <row r="26" spans="2:26" ht="14" thickBot="1" x14ac:dyDescent="0.2">
      <c r="D26" s="104" t="s">
        <v>69</v>
      </c>
      <c r="E26" s="105"/>
      <c r="F26" s="105"/>
      <c r="G26" s="105"/>
      <c r="H26" s="105"/>
      <c r="I26" s="106" t="s">
        <v>70</v>
      </c>
      <c r="J26" s="105"/>
      <c r="K26" s="107"/>
    </row>
    <row r="27" spans="2:26" ht="14" thickBot="1" x14ac:dyDescent="0.2">
      <c r="D27" s="5" t="s">
        <v>21</v>
      </c>
      <c r="E27" s="6" t="s">
        <v>22</v>
      </c>
      <c r="F27" s="24" t="s">
        <v>23</v>
      </c>
      <c r="G27" s="24" t="s">
        <v>24</v>
      </c>
      <c r="H27" s="25" t="s">
        <v>25</v>
      </c>
      <c r="I27" s="6" t="s">
        <v>37</v>
      </c>
      <c r="J27" s="6" t="s">
        <v>38</v>
      </c>
      <c r="K27" s="7" t="s">
        <v>39</v>
      </c>
      <c r="L27" t="s">
        <v>0</v>
      </c>
      <c r="M27" t="s">
        <v>1</v>
      </c>
      <c r="N27" t="s">
        <v>2</v>
      </c>
      <c r="O27" t="s">
        <v>3</v>
      </c>
    </row>
    <row r="28" spans="2:26" ht="17" customHeight="1" x14ac:dyDescent="0.15">
      <c r="D28" s="15">
        <v>0</v>
      </c>
      <c r="E28" s="34" t="s">
        <v>79</v>
      </c>
      <c r="F28" s="35" t="s">
        <v>119</v>
      </c>
      <c r="G28" s="36" t="s">
        <v>120</v>
      </c>
      <c r="H28" s="36" t="s">
        <v>91</v>
      </c>
      <c r="I28" s="35" t="s">
        <v>92</v>
      </c>
      <c r="J28" s="35" t="s">
        <v>93</v>
      </c>
      <c r="K28" s="36" t="s">
        <v>94</v>
      </c>
      <c r="L28">
        <f>IF(ISBLANK(D28),"",IF(D28&gt;1000,(D28-1000)/26+33.0847,(IF(D28&gt;600,(D28-600)/28+18.799,(IF(D28&gt;400,(D28-400)/30+12.1324,(IF(D28&gt;200,(D28-200)/32+5.8824,D28/34))))))))</f>
        <v>0</v>
      </c>
      <c r="M28">
        <f t="shared" ref="M28:M37" si="2">IF(ISBLANK(D28),"",IF((D28=0),1,IF(D28&gt;=brevet,IF(brevet&gt;1200,(brevet-1200)*75/1000+90,Max_time),IF(D28&gt;1200,(D28-1200)*75/1000+90,IF(D28&gt;1000,(D28-1000)/(1000/75)+75,IF(D28&gt;600,(D28-600)/(400/35)+40,IF(D28&lt;=60,D28/20+1,D28/15)))))))</f>
        <v>1</v>
      </c>
      <c r="N28" s="4">
        <f>IF(ISBLANK(D28),"",Open_time Control_1+(INT(L28)&amp;":"&amp;IF(ROUND(((L28-INT(L28))*60),0)&lt;10,0,"")&amp;ROUND(((L28-INT(L28))*60),0)))</f>
        <v>45486.291666666664</v>
      </c>
      <c r="O28" s="4">
        <f>IF(ISBLANK(D28),"",Open_time Control_1+(INT(M28)&amp;":"&amp;IF(ROUND(((M28-INT(M28))*60),0)&lt;10,0,"")&amp;ROUND(((M28-INT(M28))*60),0)))</f>
        <v>45486.333333333328</v>
      </c>
    </row>
    <row r="29" spans="2:26" ht="17" customHeight="1" x14ac:dyDescent="0.15">
      <c r="D29" s="15">
        <v>47.6</v>
      </c>
      <c r="E29" s="34" t="s">
        <v>76</v>
      </c>
      <c r="F29" s="35" t="s">
        <v>95</v>
      </c>
      <c r="G29" s="35" t="s">
        <v>112</v>
      </c>
      <c r="H29" s="36" t="s">
        <v>104</v>
      </c>
      <c r="I29" s="35" t="s">
        <v>113</v>
      </c>
      <c r="J29" s="35" t="s">
        <v>114</v>
      </c>
      <c r="K29" s="36" t="s">
        <v>107</v>
      </c>
      <c r="L29">
        <f t="shared" ref="L29:L37" si="3">IF(ISBLANK(D29),"",IF(D29&gt;1000,(D29-1000)/26+33.0847,(IF(D29&gt;600,(D29-600)/28+18.799,(IF(D29&gt;400,(D29-400)/30+12.1324,(IF(D29&gt;200,(D29-200)/32+5.8824,D29/34))))))))</f>
        <v>1.4000000000000001</v>
      </c>
      <c r="M29">
        <f t="shared" si="2"/>
        <v>3.38</v>
      </c>
      <c r="N29" s="4">
        <f>IF(ISBLANK(D29),"",Open_time Control_1+(INT(L29)&amp;":"&amp;IF(ROUND(((L29-INT(L29))*60),0)&lt;10,0,"")&amp;ROUND(((L29-INT(L29))*60),0)))</f>
        <v>45486.35</v>
      </c>
      <c r="O29" s="4">
        <f>IF(ISBLANK(D29),"",Open_time Control_1+(INT(M29)&amp;":"&amp;IF(ROUND(((M29-INT(M29))*60),0)&lt;10,0,"")&amp;ROUND(((M29-INT(M29))*60),0)))</f>
        <v>45486.432638888888</v>
      </c>
    </row>
    <row r="30" spans="2:26" ht="17" customHeight="1" x14ac:dyDescent="0.15">
      <c r="D30" s="15">
        <v>62.8</v>
      </c>
      <c r="E30" s="34" t="s">
        <v>78</v>
      </c>
      <c r="F30" s="35" t="s">
        <v>82</v>
      </c>
      <c r="G30" s="36" t="s">
        <v>83</v>
      </c>
      <c r="H30" s="35"/>
      <c r="I30" s="35" t="s">
        <v>101</v>
      </c>
      <c r="J30" s="35"/>
      <c r="K30" s="36" t="s">
        <v>102</v>
      </c>
      <c r="L30">
        <f t="shared" si="3"/>
        <v>1.8470588235294116</v>
      </c>
      <c r="M30">
        <f t="shared" si="2"/>
        <v>4.1866666666666665</v>
      </c>
      <c r="N30" s="4">
        <f>IF(ISBLANK(D30),"",Open_time Control_1+(INT(L30)&amp;":"&amp;IF(ROUND(((L30-INT(L30))*60),0)&lt;10,0,"")&amp;ROUND(((L30-INT(L30))*60),0)))</f>
        <v>45486.368749999994</v>
      </c>
      <c r="O30" s="4">
        <f>IF(ISBLANK(D30),"",Open_time Control_1+(INT(M30)&amp;":"&amp;IF(ROUND(((M30-INT(M30))*60),0)&lt;10,0,"")&amp;ROUND(((M30-INT(M30))*60),0)))</f>
        <v>45486.46597222222</v>
      </c>
    </row>
    <row r="31" spans="2:26" ht="17" customHeight="1" x14ac:dyDescent="0.15">
      <c r="D31" s="15">
        <v>74.8</v>
      </c>
      <c r="E31" s="34" t="s">
        <v>80</v>
      </c>
      <c r="F31" s="35" t="s">
        <v>84</v>
      </c>
      <c r="G31" s="36" t="s">
        <v>85</v>
      </c>
      <c r="H31" s="35"/>
      <c r="I31" s="35" t="s">
        <v>86</v>
      </c>
      <c r="J31" s="35"/>
      <c r="K31" s="35" t="s">
        <v>87</v>
      </c>
      <c r="L31">
        <f t="shared" si="3"/>
        <v>2.1999999999999997</v>
      </c>
      <c r="M31">
        <f t="shared" si="2"/>
        <v>4.9866666666666664</v>
      </c>
      <c r="N31" s="4">
        <f>IF(ISBLANK(D31),"",Open_time Control_1+(INT(L31)&amp;":"&amp;IF(ROUND(((L31-INT(L31))*60),0)&lt;10,0,"")&amp;ROUND(((L31-INT(L31))*60),0)))</f>
        <v>45486.383333333331</v>
      </c>
      <c r="O31" s="4">
        <f>IF(ISBLANK(D31),"",Open_time Control_1+(INT(M31)&amp;":"&amp;IF(ROUND(((M31-INT(M31))*60),0)&lt;10,0,"")&amp;ROUND(((M31-INT(M31))*60),0)))</f>
        <v>45486.499305555553</v>
      </c>
    </row>
    <row r="32" spans="2:26" ht="17" customHeight="1" x14ac:dyDescent="0.15">
      <c r="D32" s="15">
        <v>83.5</v>
      </c>
      <c r="E32" s="34" t="s">
        <v>81</v>
      </c>
      <c r="F32" s="35" t="s">
        <v>88</v>
      </c>
      <c r="G32" s="36" t="s">
        <v>89</v>
      </c>
      <c r="H32" s="35"/>
      <c r="I32" s="35" t="s">
        <v>109</v>
      </c>
      <c r="J32" s="35"/>
      <c r="K32" s="36" t="s">
        <v>110</v>
      </c>
      <c r="L32">
        <f t="shared" si="3"/>
        <v>2.4558823529411766</v>
      </c>
      <c r="M32">
        <f t="shared" si="2"/>
        <v>5.5666666666666664</v>
      </c>
      <c r="N32" s="4">
        <f>IF(ISBLANK(D32),"",Open_time Control_1+(INT(L32)&amp;":"&amp;IF(ROUND(((L32-INT(L32))*60),0)&lt;10,0,"")&amp;ROUND(((L32-INT(L32))*60),0)))</f>
        <v>45486.393749999996</v>
      </c>
      <c r="O32" s="4">
        <f>IF(ISBLANK(D32),"",Open_time Control_1+(INT(M32)&amp;":"&amp;IF(ROUND(((M32-INT(M32))*60),0)&lt;10,0,"")&amp;ROUND(((M32-INT(M32))*60),0)))</f>
        <v>45486.523611111108</v>
      </c>
    </row>
    <row r="33" spans="4:15" ht="17" customHeight="1" x14ac:dyDescent="0.15">
      <c r="D33" s="15">
        <v>95.4</v>
      </c>
      <c r="E33" s="34" t="s">
        <v>76</v>
      </c>
      <c r="F33" s="35" t="s">
        <v>117</v>
      </c>
      <c r="G33" s="35" t="s">
        <v>118</v>
      </c>
      <c r="H33" s="35" t="s">
        <v>115</v>
      </c>
      <c r="I33" s="35" t="s">
        <v>96</v>
      </c>
      <c r="J33" s="35" t="s">
        <v>97</v>
      </c>
      <c r="K33" s="36" t="s">
        <v>98</v>
      </c>
      <c r="L33">
        <f t="shared" si="3"/>
        <v>2.8058823529411767</v>
      </c>
      <c r="M33">
        <f t="shared" si="2"/>
        <v>6.36</v>
      </c>
      <c r="N33" s="4">
        <f>IF(ISBLANK(D33),"",Open_time Control_1+(INT(L33)&amp;":"&amp;IF(ROUND(((L33-INT(L33))*60),0)&lt;10,0,"")&amp;ROUND(((L33-INT(L33))*60),0)))</f>
        <v>45486.408333333333</v>
      </c>
      <c r="O33" s="4">
        <f>IF(ISBLANK(D33),"",Open_time Control_1+(INT(M33)&amp;":"&amp;IF(ROUND(((M33-INT(M33))*60),0)&lt;10,0,"")&amp;ROUND(((M33-INT(M33))*60),0)))</f>
        <v>45486.556944444441</v>
      </c>
    </row>
    <row r="34" spans="4:15" ht="17" customHeight="1" x14ac:dyDescent="0.15">
      <c r="D34" s="15">
        <v>129.69999999999999</v>
      </c>
      <c r="E34" s="34" t="s">
        <v>77</v>
      </c>
      <c r="F34" s="35" t="s">
        <v>117</v>
      </c>
      <c r="G34" s="35" t="s">
        <v>118</v>
      </c>
      <c r="H34" s="35" t="s">
        <v>90</v>
      </c>
      <c r="I34" s="36" t="s">
        <v>116</v>
      </c>
      <c r="J34" s="35"/>
      <c r="K34" s="36" t="s">
        <v>108</v>
      </c>
      <c r="L34">
        <f t="shared" si="3"/>
        <v>3.8147058823529409</v>
      </c>
      <c r="M34">
        <f t="shared" si="2"/>
        <v>8.6466666666666665</v>
      </c>
      <c r="N34" s="4">
        <f>IF(ISBLANK(D34),"",Open_time Control_1+(INT(L34)&amp;":"&amp;IF(ROUND(((L34-INT(L34))*60),0)&lt;10,0,"")&amp;ROUND(((L34-INT(L34))*60),0)))</f>
        <v>45486.450694444444</v>
      </c>
      <c r="O34" s="4">
        <f>IF(ISBLANK(D34),"",Open_time Control_1+(INT(M34)&amp;":"&amp;IF(ROUND(((M34-INT(M34))*60),0)&lt;10,0,"")&amp;ROUND(((M34-INT(M34))*60),0)))</f>
        <v>45486.652083333334</v>
      </c>
    </row>
    <row r="35" spans="4:15" ht="17" customHeight="1" x14ac:dyDescent="0.15">
      <c r="D35" s="15">
        <v>172.8</v>
      </c>
      <c r="E35" s="34" t="s">
        <v>78</v>
      </c>
      <c r="F35" s="35" t="s">
        <v>111</v>
      </c>
      <c r="G35" s="36" t="s">
        <v>103</v>
      </c>
      <c r="H35" s="36" t="s">
        <v>104</v>
      </c>
      <c r="I35" s="35" t="s">
        <v>105</v>
      </c>
      <c r="J35" s="35" t="s">
        <v>106</v>
      </c>
      <c r="K35" s="36" t="s">
        <v>107</v>
      </c>
      <c r="L35">
        <f t="shared" si="3"/>
        <v>5.0823529411764712</v>
      </c>
      <c r="M35">
        <f t="shared" si="2"/>
        <v>11.520000000000001</v>
      </c>
      <c r="N35" s="4">
        <f>IF(ISBLANK(D35),"",Open_time Control_1+(INT(L35)&amp;":"&amp;IF(ROUND(((L35-INT(L35))*60),0)&lt;10,0,"")&amp;ROUND(((L35-INT(L35))*60),0)))</f>
        <v>45486.503472222219</v>
      </c>
      <c r="O35" s="4">
        <f>IF(ISBLANK(D35),"",Open_time Control_1+(INT(M35)&amp;":"&amp;IF(ROUND(((M35-INT(M35))*60),0)&lt;10,0,"")&amp;ROUND(((M35-INT(M35))*60),0)))</f>
        <v>45486.771527777775</v>
      </c>
    </row>
    <row r="36" spans="4:15" ht="17" customHeight="1" x14ac:dyDescent="0.15">
      <c r="D36" s="15">
        <v>200.3</v>
      </c>
      <c r="E36" s="34" t="s">
        <v>79</v>
      </c>
      <c r="F36" s="35" t="s">
        <v>119</v>
      </c>
      <c r="G36" s="36" t="s">
        <v>120</v>
      </c>
      <c r="H36" s="36" t="s">
        <v>91</v>
      </c>
      <c r="I36" s="35" t="s">
        <v>99</v>
      </c>
      <c r="J36" s="36"/>
      <c r="K36" s="36"/>
      <c r="L36">
        <f t="shared" si="3"/>
        <v>5.891775</v>
      </c>
      <c r="M36">
        <f t="shared" si="2"/>
        <v>13.5</v>
      </c>
      <c r="N36" s="4">
        <f>IF(ISBLANK(D36),"",Open_time Control_1+(INT(L36)&amp;":"&amp;IF(ROUND(((L36-INT(L36))*60),0)&lt;10,0,"")&amp;ROUND(((L36-INT(L36))*60),0)))</f>
        <v>45486.537499999999</v>
      </c>
      <c r="O36" s="4">
        <f>IF(ISBLANK(D36),"",Open_time Control_1+(INT(M36)&amp;":"&amp;IF(ROUND(((M36-INT(M36))*60),0)&lt;10,0,"")&amp;ROUND(((M36-INT(M36))*60),0)))</f>
        <v>45486.854166666664</v>
      </c>
    </row>
    <row r="37" spans="4:15" ht="17" customHeight="1" thickBot="1" x14ac:dyDescent="0.2">
      <c r="D37" s="20"/>
      <c r="E37" s="34"/>
      <c r="F37" s="35"/>
      <c r="G37" s="35"/>
      <c r="H37" s="36"/>
      <c r="I37" s="35"/>
      <c r="J37" s="35"/>
      <c r="K37" s="36"/>
      <c r="L37" t="str">
        <f t="shared" si="3"/>
        <v/>
      </c>
      <c r="M37" t="str">
        <f t="shared" si="2"/>
        <v/>
      </c>
      <c r="N37" s="4" t="str">
        <f>IF(ISBLANK(D37),"",Open_time Control_1+(INT(L37)&amp;":"&amp;IF(ROUND(((L37-INT(L37))*60),0)&lt;10,0,"")&amp;ROUND(((L37-INT(L37))*60),0)))</f>
        <v/>
      </c>
      <c r="O37" s="4" t="str">
        <f>IF(ISBLANK(D37),"",Open_time Control_1+(INT(M37)&amp;":"&amp;IF(ROUND(((M37-INT(M37))*60),0)&lt;10,0,"")&amp;ROUND(((M37-INT(M37))*60),0)))</f>
        <v/>
      </c>
    </row>
    <row r="38" spans="4:15" ht="7" customHeight="1" thickBot="1" x14ac:dyDescent="0.25">
      <c r="D38" s="26"/>
      <c r="E38" s="27"/>
      <c r="F38" s="28"/>
      <c r="G38" s="28"/>
      <c r="H38" s="28"/>
      <c r="I38" s="28"/>
      <c r="J38" s="28"/>
      <c r="K38" s="29"/>
      <c r="N38" s="4"/>
      <c r="O38" s="4"/>
    </row>
    <row r="39" spans="4:15" ht="14" thickBot="1" x14ac:dyDescent="0.2">
      <c r="D39" s="104"/>
      <c r="E39" s="105"/>
      <c r="F39" s="105"/>
      <c r="G39" s="105"/>
      <c r="H39" s="105"/>
      <c r="I39" s="106"/>
      <c r="J39" s="105"/>
      <c r="K39" s="107"/>
    </row>
    <row r="40" spans="4:15" ht="14" thickBot="1" x14ac:dyDescent="0.2">
      <c r="D40" s="5"/>
      <c r="E40" s="6"/>
      <c r="F40" s="24"/>
      <c r="G40" s="24"/>
      <c r="H40" s="25"/>
      <c r="I40" s="6"/>
      <c r="J40" s="6"/>
      <c r="K40" s="7"/>
    </row>
    <row r="41" spans="4:15" ht="17" customHeight="1" x14ac:dyDescent="0.15">
      <c r="D41" s="15"/>
      <c r="E41" s="34"/>
      <c r="F41" s="35"/>
      <c r="G41" s="35"/>
      <c r="H41" s="36"/>
      <c r="I41" s="35"/>
      <c r="J41" s="35"/>
      <c r="K41" s="36"/>
      <c r="N41" s="4"/>
      <c r="O41" s="4"/>
    </row>
    <row r="42" spans="4:15" ht="17" customHeight="1" x14ac:dyDescent="0.15">
      <c r="D42" s="15"/>
      <c r="E42" s="34"/>
      <c r="F42" s="35"/>
      <c r="G42" s="35"/>
      <c r="H42" s="36"/>
      <c r="I42" s="35"/>
      <c r="J42" s="35"/>
      <c r="K42" s="36"/>
      <c r="N42" s="4"/>
      <c r="O42" s="4"/>
    </row>
    <row r="43" spans="4:15" ht="17" customHeight="1" x14ac:dyDescent="0.15">
      <c r="D43" s="15"/>
      <c r="E43" s="34"/>
      <c r="F43" s="35"/>
      <c r="G43" s="35"/>
      <c r="H43" s="36"/>
      <c r="I43" s="35"/>
      <c r="J43" s="35"/>
      <c r="K43" s="36"/>
      <c r="N43" s="4"/>
      <c r="O43" s="4"/>
    </row>
    <row r="44" spans="4:15" ht="17" customHeight="1" x14ac:dyDescent="0.15">
      <c r="D44" s="15"/>
      <c r="E44" s="34"/>
      <c r="F44" s="35"/>
      <c r="G44" s="35"/>
      <c r="H44" s="36"/>
      <c r="I44" s="35"/>
      <c r="J44" s="35"/>
      <c r="K44" s="36"/>
      <c r="N44" s="4"/>
      <c r="O44" s="4"/>
    </row>
    <row r="45" spans="4:15" ht="17" customHeight="1" x14ac:dyDescent="0.15">
      <c r="D45" s="15"/>
      <c r="E45" s="34"/>
      <c r="F45" s="35"/>
      <c r="G45" s="35"/>
      <c r="H45" s="36"/>
      <c r="I45" s="35"/>
      <c r="J45" s="35"/>
      <c r="K45" s="36"/>
      <c r="N45" s="4"/>
      <c r="O45" s="4"/>
    </row>
    <row r="46" spans="4:15" ht="17" customHeight="1" x14ac:dyDescent="0.15">
      <c r="D46" s="15"/>
      <c r="E46" s="34"/>
      <c r="F46" s="35"/>
      <c r="G46" s="35"/>
      <c r="H46" s="36"/>
      <c r="I46" s="35"/>
      <c r="J46" s="35"/>
      <c r="K46" s="36"/>
      <c r="N46" s="4"/>
      <c r="O46" s="4"/>
    </row>
    <row r="47" spans="4:15" ht="17" customHeight="1" x14ac:dyDescent="0.15">
      <c r="D47" s="15"/>
      <c r="E47" s="34"/>
      <c r="F47" s="35"/>
      <c r="G47" s="35"/>
      <c r="H47" s="36"/>
      <c r="I47" s="35"/>
      <c r="J47" s="35"/>
      <c r="K47" s="36"/>
      <c r="N47" s="4"/>
      <c r="O47" s="4"/>
    </row>
    <row r="48" spans="4:15" ht="17" customHeight="1" x14ac:dyDescent="0.15">
      <c r="D48" s="15"/>
      <c r="E48" s="34"/>
      <c r="F48" s="35"/>
      <c r="G48" s="35"/>
      <c r="H48" s="36"/>
      <c r="I48" s="35"/>
      <c r="J48" s="35"/>
      <c r="K48" s="36"/>
      <c r="N48" s="4"/>
      <c r="O48" s="4"/>
    </row>
    <row r="49" spans="4:15" ht="17" customHeight="1" x14ac:dyDescent="0.15">
      <c r="D49" s="15"/>
      <c r="E49" s="34"/>
      <c r="F49" s="35"/>
      <c r="G49" s="35"/>
      <c r="H49" s="36"/>
      <c r="I49" s="35"/>
      <c r="J49" s="35"/>
      <c r="K49" s="36"/>
      <c r="N49" s="4"/>
      <c r="O49" s="4"/>
    </row>
    <row r="50" spans="4:15" ht="17" customHeight="1" thickBot="1" x14ac:dyDescent="0.2">
      <c r="D50" s="20"/>
      <c r="E50" s="34"/>
      <c r="F50" s="35"/>
      <c r="G50" s="35"/>
      <c r="H50" s="36"/>
      <c r="I50" s="35"/>
      <c r="J50" s="35"/>
      <c r="K50" s="36"/>
      <c r="N50" s="4"/>
      <c r="O50" s="4"/>
    </row>
  </sheetData>
  <sheetProtection formatCells="0" selectLockedCells="1"/>
  <mergeCells count="10">
    <mergeCell ref="Q1:AF4"/>
    <mergeCell ref="J6:K6"/>
    <mergeCell ref="D13:H13"/>
    <mergeCell ref="I13:K13"/>
    <mergeCell ref="D39:H39"/>
    <mergeCell ref="I39:K39"/>
    <mergeCell ref="D26:H26"/>
    <mergeCell ref="I26:K26"/>
    <mergeCell ref="A1:G1"/>
    <mergeCell ref="B8:F8"/>
  </mergeCells>
  <phoneticPr fontId="13"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14ED8-B2B3-3C4A-953E-40C153A6C07C}">
  <sheetPr>
    <pageSetUpPr fitToPage="1"/>
  </sheetPr>
  <dimension ref="B1:O57"/>
  <sheetViews>
    <sheetView zoomScale="115" zoomScaleNormal="115" zoomScalePageLayoutView="75" workbookViewId="0">
      <selection activeCell="F28" sqref="F28"/>
    </sheetView>
  </sheetViews>
  <sheetFormatPr baseColWidth="10" defaultColWidth="8.83203125" defaultRowHeight="13" x14ac:dyDescent="0.15"/>
  <cols>
    <col min="1" max="1" width="1.83203125" customWidth="1"/>
    <col min="2" max="2" width="12.83203125" customWidth="1"/>
    <col min="3" max="4" width="15.83203125" customWidth="1"/>
    <col min="5" max="5" width="25.83203125" customWidth="1"/>
    <col min="6" max="6" width="40.83203125" customWidth="1"/>
    <col min="7" max="7" width="12.83203125" customWidth="1"/>
    <col min="8" max="8" width="25.83203125" customWidth="1"/>
    <col min="9" max="9" width="30.83203125" customWidth="1"/>
    <col min="10" max="10" width="25.83203125" customWidth="1"/>
    <col min="11" max="11" width="1.83203125" customWidth="1"/>
    <col min="12" max="12" width="8.83203125" customWidth="1"/>
  </cols>
  <sheetData>
    <row r="1" spans="2:15" x14ac:dyDescent="0.15">
      <c r="K1" s="75"/>
      <c r="L1" s="75"/>
      <c r="M1" s="75"/>
    </row>
    <row r="2" spans="2:15" ht="18" x14ac:dyDescent="0.2">
      <c r="C2" s="129" t="s">
        <v>33</v>
      </c>
      <c r="D2" s="129"/>
      <c r="E2" s="129"/>
      <c r="F2" s="129"/>
      <c r="G2" s="55"/>
      <c r="H2" s="55"/>
      <c r="I2" s="78" t="s">
        <v>58</v>
      </c>
      <c r="J2" s="79">
        <f>'Control Entry'!B4</f>
        <v>45472</v>
      </c>
      <c r="K2" s="55"/>
      <c r="L2" s="55"/>
    </row>
    <row r="3" spans="2:15" ht="45" customHeight="1" x14ac:dyDescent="0.45">
      <c r="D3" s="12"/>
      <c r="E3" s="138" t="s">
        <v>29</v>
      </c>
      <c r="F3" s="138"/>
      <c r="G3" s="138"/>
      <c r="H3" s="138"/>
      <c r="I3" s="66" t="s">
        <v>60</v>
      </c>
      <c r="J3" s="71">
        <f>IF(ISBLANK(Brevet_Number),"",Brevet_Number)</f>
        <v>5406</v>
      </c>
      <c r="K3" s="39"/>
      <c r="L3" s="39"/>
    </row>
    <row r="4" spans="2:15" ht="20" customHeight="1" x14ac:dyDescent="0.15">
      <c r="C4" s="12"/>
      <c r="E4" s="139" t="str">
        <f>IF(ISBLANK(Brevet_Length),"",Brevet_Length&amp;" km Randonnée")</f>
        <v>200 km Randonnée</v>
      </c>
      <c r="F4" s="139"/>
      <c r="G4" s="139"/>
      <c r="H4" s="139"/>
      <c r="K4" s="51"/>
      <c r="L4" s="51"/>
    </row>
    <row r="5" spans="2:15" ht="20" customHeight="1" x14ac:dyDescent="0.2">
      <c r="D5" s="52"/>
      <c r="E5" s="137" t="str">
        <f>IF(ISBLANK(Brevet_Description),"",Brevet_Description)</f>
        <v>Old Rails and Trails</v>
      </c>
      <c r="F5" s="137"/>
      <c r="G5" s="137"/>
      <c r="H5" s="137"/>
      <c r="I5" s="74"/>
      <c r="J5" s="52"/>
      <c r="K5" s="52"/>
      <c r="L5" s="52"/>
    </row>
    <row r="6" spans="2:15" ht="20" x14ac:dyDescent="0.2">
      <c r="D6" s="67"/>
      <c r="E6" s="137"/>
      <c r="F6" s="137"/>
      <c r="G6" s="137"/>
      <c r="H6" s="137"/>
      <c r="I6" s="74"/>
      <c r="J6" s="67"/>
      <c r="K6" s="52"/>
      <c r="L6" s="52"/>
    </row>
    <row r="7" spans="2:15" ht="25" customHeight="1" x14ac:dyDescent="0.15">
      <c r="C7" s="133"/>
      <c r="D7" s="133"/>
      <c r="E7" s="133"/>
      <c r="F7" s="133"/>
      <c r="H7" s="135"/>
    </row>
    <row r="8" spans="2:15" ht="21" thickBot="1" x14ac:dyDescent="0.25">
      <c r="B8" s="17" t="s">
        <v>61</v>
      </c>
      <c r="C8" s="134"/>
      <c r="D8" s="134"/>
      <c r="E8" s="134"/>
      <c r="F8" s="134"/>
      <c r="G8" s="17" t="s">
        <v>31</v>
      </c>
      <c r="H8" s="136"/>
      <c r="I8" s="53"/>
      <c r="J8" s="53"/>
      <c r="K8" s="53"/>
    </row>
    <row r="9" spans="2:15" ht="22" customHeight="1" x14ac:dyDescent="0.15">
      <c r="B9" s="58"/>
      <c r="C9" s="58"/>
      <c r="D9" s="58"/>
      <c r="E9" s="58"/>
      <c r="F9" s="54"/>
      <c r="G9" s="60"/>
      <c r="H9" s="60"/>
      <c r="I9" s="60"/>
      <c r="J9" s="54"/>
    </row>
    <row r="10" spans="2:15" ht="20" customHeight="1" x14ac:dyDescent="0.15">
      <c r="B10" s="131" t="s">
        <v>34</v>
      </c>
      <c r="C10" s="131"/>
      <c r="D10" s="64" t="s">
        <v>35</v>
      </c>
      <c r="E10" s="132" t="s">
        <v>57</v>
      </c>
      <c r="F10" s="132"/>
      <c r="G10" s="132"/>
      <c r="H10" s="70"/>
      <c r="I10" s="59"/>
      <c r="J10" s="59"/>
      <c r="K10" s="19"/>
      <c r="L10" s="110"/>
      <c r="M10" s="110"/>
      <c r="N10" s="110"/>
      <c r="O10" s="110"/>
    </row>
    <row r="11" spans="2:15" ht="23" x14ac:dyDescent="0.15">
      <c r="B11" s="58"/>
      <c r="C11" s="58" t="s">
        <v>73</v>
      </c>
      <c r="D11" s="58"/>
      <c r="E11" s="58"/>
      <c r="F11" s="54"/>
      <c r="G11" s="60"/>
      <c r="H11" s="60"/>
      <c r="I11" s="60"/>
      <c r="J11" s="54"/>
    </row>
    <row r="12" spans="2:15" ht="21" thickBot="1" x14ac:dyDescent="0.25">
      <c r="D12" s="126" t="s">
        <v>19</v>
      </c>
      <c r="E12" s="126"/>
      <c r="F12" s="69">
        <f>IF(ISBLANK('Control Entry'!B12),"",'Control Entry'!B12)</f>
        <v>45486</v>
      </c>
      <c r="G12" s="73"/>
      <c r="H12" s="17" t="s">
        <v>63</v>
      </c>
      <c r="I12" s="68">
        <f>IF(ISBLANK('Control Entry'!B13),"",'Control Entry'!B13)</f>
        <v>0.29166666666666669</v>
      </c>
      <c r="J12" s="23"/>
    </row>
    <row r="13" spans="2:15" ht="20" x14ac:dyDescent="0.2">
      <c r="D13" s="22"/>
      <c r="E13" s="22"/>
      <c r="F13" s="21"/>
      <c r="G13" s="21"/>
      <c r="H13" s="21"/>
      <c r="L13" s="23"/>
      <c r="M13" s="23"/>
      <c r="N13" s="23"/>
    </row>
    <row r="14" spans="2:15" ht="21" thickBot="1" x14ac:dyDescent="0.25">
      <c r="D14" s="126" t="s">
        <v>62</v>
      </c>
      <c r="E14" s="126"/>
      <c r="F14" s="69"/>
      <c r="G14" s="73"/>
      <c r="H14" s="17" t="s">
        <v>64</v>
      </c>
      <c r="I14" s="68"/>
      <c r="J14" s="23"/>
      <c r="L14" s="45"/>
      <c r="M14" s="45"/>
      <c r="N14" s="45"/>
    </row>
    <row r="15" spans="2:15" ht="20" x14ac:dyDescent="0.2">
      <c r="B15" s="22"/>
      <c r="C15" s="22"/>
      <c r="D15" s="21"/>
      <c r="E15" s="21"/>
      <c r="H15" s="21"/>
    </row>
    <row r="16" spans="2:15" ht="21" thickBot="1" x14ac:dyDescent="0.25">
      <c r="C16" s="65"/>
      <c r="D16" s="65"/>
      <c r="E16" s="65"/>
      <c r="F16" s="65"/>
      <c r="H16" s="17" t="s">
        <v>65</v>
      </c>
      <c r="I16" s="68"/>
      <c r="J16" s="23"/>
      <c r="L16" s="45"/>
      <c r="M16" s="45"/>
      <c r="N16" s="45"/>
    </row>
    <row r="17" spans="2:15" ht="20" x14ac:dyDescent="0.15">
      <c r="C17" s="127" t="s">
        <v>14</v>
      </c>
      <c r="D17" s="127"/>
      <c r="E17" s="127"/>
      <c r="F17" s="127"/>
      <c r="G17" s="19"/>
      <c r="H17" s="19"/>
      <c r="I17" s="128"/>
      <c r="J17" s="128"/>
      <c r="K17" s="19"/>
      <c r="L17" s="110"/>
      <c r="M17" s="110"/>
      <c r="N17" s="110"/>
      <c r="O17" s="110"/>
    </row>
    <row r="18" spans="2:15" ht="6" customHeight="1" thickBot="1" x14ac:dyDescent="0.2">
      <c r="B18" s="61"/>
      <c r="C18" s="61"/>
      <c r="D18" s="61"/>
      <c r="E18" s="61"/>
      <c r="F18" s="62"/>
      <c r="G18" s="63"/>
      <c r="H18" s="63"/>
      <c r="I18" s="63"/>
      <c r="J18" s="62"/>
    </row>
    <row r="19" spans="2:15" ht="22" thickTop="1" thickBot="1" x14ac:dyDescent="0.2">
      <c r="B19" s="130" t="s">
        <v>50</v>
      </c>
      <c r="C19" s="130"/>
      <c r="D19" s="130"/>
      <c r="E19" s="130"/>
      <c r="F19" s="130"/>
      <c r="G19" s="130"/>
      <c r="H19" s="130"/>
      <c r="I19" s="130"/>
      <c r="J19" s="130"/>
    </row>
    <row r="20" spans="2:15" ht="20" thickBot="1" x14ac:dyDescent="0.25">
      <c r="B20" s="50" t="s">
        <v>26</v>
      </c>
      <c r="C20" s="8" t="s">
        <v>0</v>
      </c>
      <c r="D20" s="8" t="s">
        <v>1</v>
      </c>
      <c r="E20" s="8" t="s">
        <v>22</v>
      </c>
      <c r="F20" s="8" t="s">
        <v>27</v>
      </c>
      <c r="G20" s="123" t="s">
        <v>36</v>
      </c>
      <c r="H20" s="124"/>
      <c r="I20" s="125"/>
      <c r="J20" s="50" t="s">
        <v>28</v>
      </c>
    </row>
    <row r="21" spans="2:15" ht="40" customHeight="1" x14ac:dyDescent="0.25">
      <c r="B21" s="88"/>
      <c r="C21" s="100">
        <f>Control_1 Open_time</f>
        <v>45486.291666666664</v>
      </c>
      <c r="D21" s="100">
        <f>Control_1 Close_time</f>
        <v>45486.333333333328</v>
      </c>
      <c r="E21" s="89"/>
      <c r="F21" s="90" t="str">
        <f>IF(ISBLANK(Control_1 Establishment_1),"",Control_1 Establishment_1)</f>
        <v xml:space="preserve">Galloping Goose </v>
      </c>
      <c r="G21" s="113" t="str">
        <f>IF(ISBLANK('Control Entry'!I15),"",'Control Entry'!I15)</f>
        <v>STAFFED</v>
      </c>
      <c r="H21" s="114"/>
      <c r="I21" s="115"/>
      <c r="J21" s="91"/>
    </row>
    <row r="22" spans="2:15" ht="40" customHeight="1" x14ac:dyDescent="0.25">
      <c r="B22" s="92">
        <f>IF(ISBLANK(Distance Control_1),"",Control_1 Distance)</f>
        <v>0</v>
      </c>
      <c r="C22" s="93">
        <f>Control_1 Open_time</f>
        <v>45486.291666666664</v>
      </c>
      <c r="D22" s="93">
        <f>Control_1 Close_time</f>
        <v>45486.333333333328</v>
      </c>
      <c r="E22" s="90" t="str">
        <f>IF(ISBLANK(Locale Control_1),"",Locale Control_1)</f>
        <v>VIEW ROYAL</v>
      </c>
      <c r="F22" s="90" t="str">
        <f>IF(ISBLANK(Control_1 Establishment_2),"",Control_1 Establishment_2)</f>
        <v>Regional Park</v>
      </c>
      <c r="G22" s="116" t="str">
        <f>IF(ISBLANK('Control Entry'!J15),"",'Control Entry'!J15)</f>
        <v/>
      </c>
      <c r="H22" s="117"/>
      <c r="I22" s="118"/>
      <c r="J22" s="94"/>
    </row>
    <row r="23" spans="2:15" ht="40" customHeight="1" thickBot="1" x14ac:dyDescent="0.3">
      <c r="B23" s="95"/>
      <c r="C23" s="101">
        <f>Control_1 Open_time</f>
        <v>45486.291666666664</v>
      </c>
      <c r="D23" s="101">
        <f>Control_1 Close_time</f>
        <v>45486.333333333328</v>
      </c>
      <c r="E23" s="96"/>
      <c r="F23" s="97" t="str">
        <f>IF(ISBLANK(Control_1 Establishment_3),"",Control_1 Establishment_3)</f>
        <v>Atkins Rd parking lot</v>
      </c>
      <c r="G23" s="119" t="str">
        <f>IF(ISBLANK('Control Entry'!K15),"",'Control Entry'!K15)</f>
        <v/>
      </c>
      <c r="H23" s="120"/>
      <c r="I23" s="121"/>
      <c r="J23" s="98"/>
    </row>
    <row r="24" spans="2:15" ht="40" customHeight="1" x14ac:dyDescent="0.25">
      <c r="B24" s="88"/>
      <c r="C24" s="100">
        <f>Control_2 Open_time</f>
        <v>45486.334027777775</v>
      </c>
      <c r="D24" s="100">
        <f>Control_2 Close_time</f>
        <v>45486.404861111107</v>
      </c>
      <c r="E24" s="99"/>
      <c r="F24" s="90" t="str">
        <f>IF(ISBLANK(Control_2 Establishment_1),"",Control_2 Establishment_1)</f>
        <v xml:space="preserve">Galloping Goose </v>
      </c>
      <c r="G24" s="113" t="str">
        <f>IF(ISBLANK('Control Entry'!I16),"",'Control Entry'!I16)</f>
        <v>Bottom of green Info sign by washroom</v>
      </c>
      <c r="H24" s="114"/>
      <c r="I24" s="115"/>
      <c r="J24" s="91"/>
    </row>
    <row r="25" spans="2:15" ht="40" customHeight="1" x14ac:dyDescent="0.25">
      <c r="B25" s="92">
        <f>IF(ISBLANK(Distance Control_2),"",Control_2 Distance)</f>
        <v>34.299999999999997</v>
      </c>
      <c r="C25" s="93">
        <f>Control_2 Open_time</f>
        <v>45486.334027777775</v>
      </c>
      <c r="D25" s="93">
        <f>Control_2 Close_time</f>
        <v>45486.404861111107</v>
      </c>
      <c r="E25" s="90" t="str">
        <f>IF(ISBLANK(Locale Control_2),"",Locale Control_2)</f>
        <v>SOOKE</v>
      </c>
      <c r="F25" s="90" t="str">
        <f>IF(ISBLANK(Control_2 Establishment_2),"",Control_2 Establishment_2)</f>
        <v>Regional Park</v>
      </c>
      <c r="G25" s="116" t="str">
        <f>IF(ISBLANK('Control Entry'!J16),"",'Control Entry'!J16)</f>
        <v/>
      </c>
      <c r="H25" s="117"/>
      <c r="I25" s="118"/>
      <c r="J25" s="94"/>
    </row>
    <row r="26" spans="2:15" ht="40" customHeight="1" thickBot="1" x14ac:dyDescent="0.3">
      <c r="B26" s="95"/>
      <c r="C26" s="101">
        <f>Control_2 Open_time</f>
        <v>45486.334027777775</v>
      </c>
      <c r="D26" s="101">
        <f>Control_2 Close_time</f>
        <v>45486.404861111107</v>
      </c>
      <c r="E26" s="96"/>
      <c r="F26" s="97" t="str">
        <f>IF(ISBLANK(Control_2 Establishment_3),"",Control_2 Establishment_3)</f>
        <v>Sooke River Rd parking lot</v>
      </c>
      <c r="G26" s="119" t="str">
        <f>IF(ISBLANK('Control Entry'!K16),"",'Control Entry'!K16)</f>
        <v>Sooke _______ Historical Society</v>
      </c>
      <c r="H26" s="120"/>
      <c r="I26" s="121"/>
      <c r="J26" s="98"/>
    </row>
    <row r="27" spans="2:15" ht="40" customHeight="1" x14ac:dyDescent="0.25">
      <c r="B27" s="88"/>
      <c r="C27" s="100">
        <f>Control_3 Open_time</f>
        <v>45486.38680555555</v>
      </c>
      <c r="D27" s="100">
        <f>Control_3 Close_time</f>
        <v>45486.506944444445</v>
      </c>
      <c r="E27" s="99"/>
      <c r="F27" s="90" t="str">
        <f>IF(ISBLANK(Control_3 Establishment_1),"",Control_3 Establishment_1)</f>
        <v>Copley West Park</v>
      </c>
      <c r="G27" s="113" t="str">
        <f>IF(ISBLANK('Control Entry'!I17),"",'Control Entry'!I17)</f>
        <v>Washroom building</v>
      </c>
      <c r="H27" s="114"/>
      <c r="I27" s="115"/>
      <c r="J27" s="91"/>
    </row>
    <row r="28" spans="2:15" ht="40" customHeight="1" x14ac:dyDescent="0.25">
      <c r="B28" s="92">
        <f>IF(ISBLANK(Distance Control_3),"",Control_3 Distance)</f>
        <v>77.400000000000006</v>
      </c>
      <c r="C28" s="93">
        <f>Control_3 Open_time</f>
        <v>45486.38680555555</v>
      </c>
      <c r="D28" s="93">
        <f>Control_3 Close_time</f>
        <v>45486.506944444445</v>
      </c>
      <c r="E28" s="90" t="str">
        <f>IF(ISBLANK(Locale Control_3),"",Locale Control_3)</f>
        <v>SAANICH</v>
      </c>
      <c r="F28" s="90" t="str">
        <f>IF(ISBLANK(Control_3 Establishment_2),"",Control_3 Establishment_2)</f>
        <v>598 Parkridge St</v>
      </c>
      <c r="G28" s="116" t="str">
        <f>IF(ISBLANK('Control Entry'!J17),"",'Control Entry'!J17)</f>
        <v>Which side of tennis court?</v>
      </c>
      <c r="H28" s="117"/>
      <c r="I28" s="118"/>
      <c r="J28" s="94"/>
    </row>
    <row r="29" spans="2:15" ht="40" customHeight="1" thickBot="1" x14ac:dyDescent="0.3">
      <c r="B29" s="95"/>
      <c r="C29" s="101">
        <f>Control_3 Open_time</f>
        <v>45486.38680555555</v>
      </c>
      <c r="D29" s="101">
        <f>Control_3 Close_time</f>
        <v>45486.506944444445</v>
      </c>
      <c r="E29" s="96"/>
      <c r="F29" s="97" t="str">
        <f>IF(ISBLANK(Control_3 Establishment_3),"",Control_3 Establishment_3)</f>
        <v>You're on the trail, though</v>
      </c>
      <c r="G29" s="119" t="str">
        <f>IF(ISBLANK('Control Entry'!K17),"",'Control Entry'!K17)</f>
        <v>LEFT          RIGHT</v>
      </c>
      <c r="H29" s="120"/>
      <c r="I29" s="121"/>
      <c r="J29" s="98"/>
    </row>
    <row r="30" spans="2:15" ht="40" customHeight="1" x14ac:dyDescent="0.25">
      <c r="B30" s="88"/>
      <c r="C30" s="100">
        <f>Control_4 Open_time</f>
        <v>45486.420138888883</v>
      </c>
      <c r="D30" s="100">
        <f>Control_4 Close_time</f>
        <v>45486.583333333328</v>
      </c>
      <c r="E30" s="99"/>
      <c r="F30" s="90" t="str">
        <f>IF(ISBLANK(Control_4 Establishment_1),"",Control_4 Establishment_1)</f>
        <v xml:space="preserve">Lost Airmen of </v>
      </c>
      <c r="G30" s="113" t="str">
        <f>IF(ISBLANK('Control Entry'!I18),"",'Control Entry'!I18)</f>
        <v>Concrete posts beside path</v>
      </c>
      <c r="H30" s="114"/>
      <c r="I30" s="115"/>
      <c r="J30" s="91"/>
    </row>
    <row r="31" spans="2:15" ht="40" customHeight="1" x14ac:dyDescent="0.25">
      <c r="B31" s="92">
        <f>IF(ISBLANK(Distance Control_4),"",Control_4 Distance)</f>
        <v>104.9</v>
      </c>
      <c r="C31" s="93">
        <f>Control_4 Open_time</f>
        <v>45486.420138888883</v>
      </c>
      <c r="D31" s="93">
        <f>Control_4 Close_time</f>
        <v>45486.583333333328</v>
      </c>
      <c r="E31" s="90" t="str">
        <f>IF(ISBLANK(Locale Control_4),"",Locale Control_4)</f>
        <v>NORTH SAANICH</v>
      </c>
      <c r="F31" s="90" t="str">
        <f>IF(ISBLANK(Control_4 Establishment_2),"",Control_4 Establishment_2)</f>
        <v>the Empire Park</v>
      </c>
      <c r="G31" s="116" t="str">
        <f>IF(ISBLANK('Control Entry'!J18),"",'Control Entry'!J18)</f>
        <v>Right post plaque</v>
      </c>
      <c r="H31" s="117"/>
      <c r="I31" s="118"/>
      <c r="J31" s="94"/>
    </row>
    <row r="32" spans="2:15" ht="40" customHeight="1" thickBot="1" x14ac:dyDescent="0.3">
      <c r="B32" s="95"/>
      <c r="C32" s="101">
        <f>Control_4 Open_time</f>
        <v>45486.420138888883</v>
      </c>
      <c r="D32" s="101">
        <f>Control_4 Close_time</f>
        <v>45486.583333333328</v>
      </c>
      <c r="E32" s="96"/>
      <c r="F32" s="97" t="str">
        <f>IF(ISBLANK(Control_4 Establishment_3),"",Control_4 Establishment_3)</f>
        <v>The Flight Path, Mills Rd</v>
      </c>
      <c r="G32" s="119" t="str">
        <f>IF(ISBLANK('Control Entry'!K18),"",'Control Entry'!K18)</f>
        <v>Patricia Bay 1939 -    ___________</v>
      </c>
      <c r="H32" s="120"/>
      <c r="I32" s="121"/>
      <c r="J32" s="98"/>
    </row>
    <row r="33" spans="2:10" ht="40" customHeight="1" x14ac:dyDescent="0.25">
      <c r="B33" s="88"/>
      <c r="C33" s="100">
        <f>Control_5 Open_time</f>
        <v>45486.478472222218</v>
      </c>
      <c r="D33" s="100">
        <f>Control_5 Close_time</f>
        <v>45486.715277777774</v>
      </c>
      <c r="E33" s="99"/>
      <c r="F33" s="90" t="str">
        <f>IF(ISBLANK(Control_5 Establishment_1),"",Control_5 Establishment_1)</f>
        <v>Portage Park</v>
      </c>
      <c r="G33" s="113" t="str">
        <f>IF(ISBLANK('Control Entry'!I19),"",'Control Entry'!I19)</f>
        <v>Water fountain</v>
      </c>
      <c r="H33" s="114"/>
      <c r="I33" s="115"/>
      <c r="J33" s="91"/>
    </row>
    <row r="34" spans="2:10" ht="40" customHeight="1" x14ac:dyDescent="0.25">
      <c r="B34" s="92">
        <f>IF(ISBLANK(Distance Control_5),"",Control_5 Distance)</f>
        <v>152.5</v>
      </c>
      <c r="C34" s="93">
        <f>Control_5 Open_time</f>
        <v>45486.478472222218</v>
      </c>
      <c r="D34" s="93">
        <f>Control_5 Close_time</f>
        <v>45486.715277777774</v>
      </c>
      <c r="E34" s="90" t="str">
        <f>IF(ISBLANK(Locale Control_5),"",Locale Control_5)</f>
        <v>VIEW ROYAL</v>
      </c>
      <c r="F34" s="90" t="str">
        <f>IF(ISBLANK(Control_5 Establishment_2),"",Control_5 Establishment_2)</f>
        <v>45 Island View Ave</v>
      </c>
      <c r="G34" s="116" t="str">
        <f>IF(ISBLANK('Control Entry'!J19),"",'Control Entry'!J19)</f>
        <v>Which side of info sign?</v>
      </c>
      <c r="H34" s="117"/>
      <c r="I34" s="118"/>
      <c r="J34" s="94"/>
    </row>
    <row r="35" spans="2:10" ht="40" customHeight="1" thickBot="1" x14ac:dyDescent="0.3">
      <c r="B35" s="95"/>
      <c r="C35" s="101">
        <f>Control_5 Open_time</f>
        <v>45486.478472222218</v>
      </c>
      <c r="D35" s="101">
        <f>Control_5 Close_time</f>
        <v>45486.715277777774</v>
      </c>
      <c r="E35" s="96"/>
      <c r="F35" s="97" t="str">
        <f>IF(ISBLANK(Control_5 Establishment_3),"",Control_5 Establishment_3)</f>
        <v>You're on the trail, though</v>
      </c>
      <c r="G35" s="119" t="str">
        <f>IF(ISBLANK('Control Entry'!K19),"",'Control Entry'!K19)</f>
        <v>LEFT          RIGHT</v>
      </c>
      <c r="H35" s="120"/>
      <c r="I35" s="121"/>
      <c r="J35" s="98"/>
    </row>
    <row r="36" spans="2:10" ht="40" customHeight="1" x14ac:dyDescent="0.25">
      <c r="B36" s="88"/>
      <c r="C36" s="100">
        <f>Control_6 Open_time</f>
        <v>45486.49722222222</v>
      </c>
      <c r="D36" s="100">
        <f>Control_6 Close_time</f>
        <v>45486.757638888885</v>
      </c>
      <c r="E36" s="99"/>
      <c r="F36" s="90" t="str">
        <f>IF(ISBLANK(Control_6 Establishment_1),"",Control_6 Establishment_1)</f>
        <v xml:space="preserve">Harvest Lane Park </v>
      </c>
      <c r="G36" s="113" t="str">
        <f>IF(ISBLANK('Control Entry'!I20),"",'Control Entry'!I20)</f>
        <v>Under steps to slide</v>
      </c>
      <c r="H36" s="114"/>
      <c r="I36" s="115"/>
      <c r="J36" s="91"/>
    </row>
    <row r="37" spans="2:10" ht="40" customHeight="1" x14ac:dyDescent="0.25">
      <c r="B37" s="92">
        <f>IF(ISBLANK(Distance Control_6),"",Control_6 Distance)</f>
        <v>167.7</v>
      </c>
      <c r="C37" s="93">
        <f>Control_6 Open_time</f>
        <v>45486.49722222222</v>
      </c>
      <c r="D37" s="93">
        <f>Control_6 Close_time</f>
        <v>45486.757638888885</v>
      </c>
      <c r="E37" s="90" t="str">
        <f>IF(ISBLANK(Locale Control_6),"",Locale Control_6)</f>
        <v>SAANICH</v>
      </c>
      <c r="F37" s="90" t="str">
        <f>IF(ISBLANK(Control_6 Establishment_2),"",Control_6 Establishment_2)</f>
        <v>1457 Harvest Ln</v>
      </c>
      <c r="G37" s="116" t="str">
        <f>IF(ISBLANK('Control Entry'!J20),"",'Control Entry'!J20)</f>
        <v/>
      </c>
      <c r="H37" s="117"/>
      <c r="I37" s="118"/>
      <c r="J37" s="94"/>
    </row>
    <row r="38" spans="2:10" ht="40" customHeight="1" thickBot="1" x14ac:dyDescent="0.3">
      <c r="B38" s="95"/>
      <c r="C38" s="101">
        <f>Control_6 Open_time</f>
        <v>45486.49722222222</v>
      </c>
      <c r="D38" s="101">
        <f>Control_6 Close_time</f>
        <v>45486.757638888885</v>
      </c>
      <c r="E38" s="96"/>
      <c r="F38" s="97" t="str">
        <f>IF(ISBLANK(Control_6 Establishment_3),"",Control_6 Establishment_3)</f>
        <v/>
      </c>
      <c r="G38" s="119" t="str">
        <f>IF(ISBLANK('Control Entry'!K20),"",'Control Entry'!K20)</f>
        <v>"There's magical _________within"?</v>
      </c>
      <c r="H38" s="120"/>
      <c r="I38" s="121"/>
      <c r="J38" s="98"/>
    </row>
    <row r="39" spans="2:10" ht="40" customHeight="1" x14ac:dyDescent="0.25">
      <c r="B39" s="88"/>
      <c r="C39" s="100">
        <f>Control_7 Open_time</f>
        <v>45486.51180555555</v>
      </c>
      <c r="D39" s="100">
        <f>Control_7 Close_time</f>
        <v>45486.790972222218</v>
      </c>
      <c r="E39" s="99"/>
      <c r="F39" s="90" t="str">
        <f>IF(ISBLANK(Control_7 Establishment_1),"",Control_7 Establishment_1)</f>
        <v>Anderson Hill Park</v>
      </c>
      <c r="G39" s="113" t="str">
        <f>IF(ISBLANK('Control Entry'!I21),"",'Control Entry'!I21)</f>
        <v>Entry arch to park,</v>
      </c>
      <c r="H39" s="114"/>
      <c r="I39" s="115"/>
      <c r="J39" s="91"/>
    </row>
    <row r="40" spans="2:10" ht="40" customHeight="1" x14ac:dyDescent="0.25">
      <c r="B40" s="92">
        <f>IF(ISBLANK(Distance Control_7),"",Control_7 Distance)</f>
        <v>179.7</v>
      </c>
      <c r="C40" s="93">
        <f>Control_7 Open_time</f>
        <v>45486.51180555555</v>
      </c>
      <c r="D40" s="93">
        <f>Control_7 Close_time</f>
        <v>45486.790972222218</v>
      </c>
      <c r="E40" s="90" t="str">
        <f>IF(ISBLANK(Locale Control_7),"",Locale Control_7)</f>
        <v>OAK BAY</v>
      </c>
      <c r="F40" s="90" t="str">
        <f>IF(ISBLANK(Control_7 Establishment_2),"",Control_7 Establishment_2)</f>
        <v>572 Island Rd</v>
      </c>
      <c r="G40" s="116" t="str">
        <f>IF(ISBLANK('Control Entry'!J21),"",'Control Entry'!J21)</f>
        <v/>
      </c>
      <c r="H40" s="117"/>
      <c r="I40" s="118"/>
      <c r="J40" s="94"/>
    </row>
    <row r="41" spans="2:10" ht="40" customHeight="1" thickBot="1" x14ac:dyDescent="0.3">
      <c r="B41" s="95"/>
      <c r="C41" s="101">
        <f>Control_7 Open_time</f>
        <v>45486.51180555555</v>
      </c>
      <c r="D41" s="101">
        <f>Control_7 Close_time</f>
        <v>45486.790972222218</v>
      </c>
      <c r="E41" s="96"/>
      <c r="F41" s="97" t="str">
        <f>IF(ISBLANK(Control_7 Establishment_3),"",Control_7 Establishment_3)</f>
        <v/>
      </c>
      <c r="G41" s="119" t="str">
        <f>IF(ISBLANK('Control Entry'!K21),"",'Control Entry'!K21)</f>
        <v>How many signs on left post?</v>
      </c>
      <c r="H41" s="120"/>
      <c r="I41" s="121"/>
      <c r="J41" s="98"/>
    </row>
    <row r="42" spans="2:10" ht="40" customHeight="1" x14ac:dyDescent="0.25">
      <c r="B42" s="88"/>
      <c r="C42" s="100">
        <f>Control_8 Open_time</f>
        <v>45486.522222222222</v>
      </c>
      <c r="D42" s="100">
        <f>Control_8 Close_time</f>
        <v>45486.815277777772</v>
      </c>
      <c r="E42" s="99"/>
      <c r="F42" s="90" t="str">
        <f>IF(ISBLANK(Control_8 Establishment_1),"",Control_8 Establishment_1)</f>
        <v>HMCS Malahat</v>
      </c>
      <c r="G42" s="113" t="str">
        <f>IF(ISBLANK('Control Entry'!I22),"",'Control Entry'!I22)</f>
        <v>Outside left of entrance</v>
      </c>
      <c r="H42" s="114"/>
      <c r="I42" s="115"/>
      <c r="J42" s="91"/>
    </row>
    <row r="43" spans="2:10" ht="40" customHeight="1" x14ac:dyDescent="0.25">
      <c r="B43" s="92">
        <f>IF(ISBLANK(Distance Control_8),"",Control_8 Distance)</f>
        <v>188.4</v>
      </c>
      <c r="C43" s="93">
        <f>Control_8 Open_time</f>
        <v>45486.522222222222</v>
      </c>
      <c r="D43" s="93">
        <f>Control_8 Close_time</f>
        <v>45486.815277777772</v>
      </c>
      <c r="E43" s="90" t="str">
        <f>IF(ISBLANK(Locale Control_8),"",Locale Control_8)</f>
        <v>VICTORIA</v>
      </c>
      <c r="F43" s="90" t="str">
        <f>IF(ISBLANK(Control_8 Establishment_2),"",Control_8 Establishment_2)</f>
        <v>20 Huron St</v>
      </c>
      <c r="G43" s="116" t="str">
        <f>IF(ISBLANK('Control Entry'!J22),"",'Control Entry'!J22)</f>
        <v/>
      </c>
      <c r="H43" s="117"/>
      <c r="I43" s="118"/>
      <c r="J43" s="94"/>
    </row>
    <row r="44" spans="2:10" ht="40" customHeight="1" thickBot="1" x14ac:dyDescent="0.3">
      <c r="B44" s="95"/>
      <c r="C44" s="101">
        <f>Control_8 Open_time</f>
        <v>45486.522222222222</v>
      </c>
      <c r="D44" s="101">
        <f>Control_8 Close_time</f>
        <v>45486.815277777772</v>
      </c>
      <c r="E44" s="96"/>
      <c r="F44" s="97" t="str">
        <f>IF(ISBLANK(Control_8 Establishment_3),"",Control_8 Establishment_3)</f>
        <v/>
      </c>
      <c r="G44" s="119" t="str">
        <f>IF(ISBLANK('Control Entry'!K22),"",'Control Entry'!K22)</f>
        <v>What is the big black sculpture thing?</v>
      </c>
      <c r="H44" s="120"/>
      <c r="I44" s="121"/>
      <c r="J44" s="98"/>
    </row>
    <row r="45" spans="2:10" ht="40" customHeight="1" x14ac:dyDescent="0.25">
      <c r="B45" s="88"/>
      <c r="C45" s="100">
        <f>Control_9 Open_time</f>
        <v>45486.537499999999</v>
      </c>
      <c r="D45" s="100">
        <f>Control_9 Close_time</f>
        <v>45486.854166666664</v>
      </c>
      <c r="E45" s="99"/>
      <c r="F45" s="90" t="str">
        <f>IF(ISBLANK(Control_9 Establishment_1),"",Control_9 Establishment_1)</f>
        <v xml:space="preserve">Galloping Goose </v>
      </c>
      <c r="G45" s="113" t="str">
        <f>IF(ISBLANK('Control Entry'!I23),"",'Control Entry'!I23)</f>
        <v>Self sign</v>
      </c>
      <c r="H45" s="114"/>
      <c r="I45" s="115"/>
      <c r="J45" s="91"/>
    </row>
    <row r="46" spans="2:10" ht="40" customHeight="1" x14ac:dyDescent="0.25">
      <c r="B46" s="92">
        <f>IF(ISBLANK(Distance Control_9),"",Control_9 Distance)</f>
        <v>200.3</v>
      </c>
      <c r="C46" s="93">
        <f>Control_9 Open_time</f>
        <v>45486.537499999999</v>
      </c>
      <c r="D46" s="93">
        <f>Control_9 Close_time</f>
        <v>45486.854166666664</v>
      </c>
      <c r="E46" s="90" t="str">
        <f>IF(ISBLANK(Locale Control_9),"",Locale Control_9)</f>
        <v>VIEW ROYAL</v>
      </c>
      <c r="F46" s="90" t="str">
        <f>IF(ISBLANK(Control_9 Establishment_2),"",Control_9 Establishment_2)</f>
        <v>Regional Park</v>
      </c>
      <c r="G46" s="116" t="str">
        <f>IF(ISBLANK('Control Entry'!J23),"",'Control Entry'!J23)</f>
        <v/>
      </c>
      <c r="H46" s="117"/>
      <c r="I46" s="118"/>
      <c r="J46" s="94"/>
    </row>
    <row r="47" spans="2:10" ht="40" customHeight="1" thickBot="1" x14ac:dyDescent="0.3">
      <c r="B47" s="95"/>
      <c r="C47" s="101">
        <f>Control_9 Open_time</f>
        <v>45486.537499999999</v>
      </c>
      <c r="D47" s="101">
        <f>Control_9 Close_time</f>
        <v>45486.854166666664</v>
      </c>
      <c r="E47" s="96"/>
      <c r="F47" s="97" t="str">
        <f>IF(ISBLANK(Control_9 Establishment_3),"",Control_9 Establishment_3)</f>
        <v>Atkins Rd parking lot</v>
      </c>
      <c r="G47" s="119" t="str">
        <f>IF(ISBLANK('Control Entry'!K23),"",'Control Entry'!K23)</f>
        <v/>
      </c>
      <c r="H47" s="120"/>
      <c r="I47" s="121"/>
      <c r="J47" s="98"/>
    </row>
    <row r="48" spans="2:10" ht="40" customHeight="1" x14ac:dyDescent="0.25">
      <c r="B48" s="88"/>
      <c r="C48" s="100" t="str">
        <f>Control_10 Open_time</f>
        <v/>
      </c>
      <c r="D48" s="100" t="str">
        <f>Control_10 Close_time</f>
        <v/>
      </c>
      <c r="E48" s="99"/>
      <c r="F48" s="90" t="str">
        <f>IF(ISBLANK(Control_10 Establishment_1),"",Control_10 Establishment_1)</f>
        <v/>
      </c>
      <c r="G48" s="113" t="str">
        <f>IF(ISBLANK('Control Entry'!I24),"",'Control Entry'!I24)</f>
        <v/>
      </c>
      <c r="H48" s="114"/>
      <c r="I48" s="115"/>
      <c r="J48" s="91"/>
    </row>
    <row r="49" spans="2:11" ht="40" customHeight="1" x14ac:dyDescent="0.25">
      <c r="B49" s="92" t="str">
        <f>IF(ISBLANK(Distance Control_10),"",Control_10 Distance)</f>
        <v/>
      </c>
      <c r="C49" s="93" t="str">
        <f>Control_10 Open_time</f>
        <v/>
      </c>
      <c r="D49" s="93" t="str">
        <f>Control_10 Close_time</f>
        <v/>
      </c>
      <c r="E49" s="90" t="str">
        <f>IF(ISBLANK(Locale Control_10),"",Locale Control_10)</f>
        <v/>
      </c>
      <c r="F49" s="90" t="str">
        <f>IF(ISBLANK(Control_10 Establishment_2),"",Control_10 Establishment_2)</f>
        <v/>
      </c>
      <c r="G49" s="116" t="str">
        <f>IF(ISBLANK('Control Entry'!J24),"",'Control Entry'!J24)</f>
        <v/>
      </c>
      <c r="H49" s="117"/>
      <c r="I49" s="118"/>
      <c r="J49" s="94"/>
    </row>
    <row r="50" spans="2:11" ht="40" customHeight="1" thickBot="1" x14ac:dyDescent="0.3">
      <c r="B50" s="95"/>
      <c r="C50" s="101" t="str">
        <f>Control_10 Open_time</f>
        <v/>
      </c>
      <c r="D50" s="101" t="str">
        <f>Control_10 Close_time</f>
        <v/>
      </c>
      <c r="E50" s="96"/>
      <c r="F50" s="97" t="str">
        <f>IF(ISBLANK(Control_10 Establishment_3),"",Control_10 Establishment_3)</f>
        <v/>
      </c>
      <c r="G50" s="119" t="str">
        <f>IF(ISBLANK('Control Entry'!K24),"",'Control Entry'!K24)</f>
        <v/>
      </c>
      <c r="H50" s="120"/>
      <c r="I50" s="121"/>
      <c r="J50" s="98"/>
    </row>
    <row r="52" spans="2:11" ht="24" customHeight="1" x14ac:dyDescent="0.15">
      <c r="B52" s="122" t="s">
        <v>30</v>
      </c>
      <c r="C52" s="122"/>
      <c r="D52" s="122"/>
      <c r="E52" s="122"/>
      <c r="F52" s="122"/>
      <c r="I52" s="58" t="s">
        <v>56</v>
      </c>
      <c r="J52" s="81" t="str">
        <f>IF(ISBLANK('Control Entry'!F10),"",'Control Entry'!F10)</f>
        <v>‭778-350-6119‬</v>
      </c>
      <c r="K52" s="54"/>
    </row>
    <row r="54" spans="2:11" x14ac:dyDescent="0.15">
      <c r="B54" s="76" t="s">
        <v>59</v>
      </c>
      <c r="C54" s="77">
        <f>'Control Entry'!B3</f>
        <v>45393</v>
      </c>
    </row>
    <row r="55" spans="2:11" ht="23" x14ac:dyDescent="0.15">
      <c r="B55" s="58"/>
      <c r="C55" s="58"/>
      <c r="D55" s="58"/>
      <c r="E55" s="58"/>
      <c r="F55" s="54"/>
      <c r="G55" s="60"/>
      <c r="H55" s="60"/>
      <c r="I55" s="60"/>
      <c r="J55" s="54"/>
    </row>
    <row r="56" spans="2:11" x14ac:dyDescent="0.15">
      <c r="E56" s="1"/>
    </row>
    <row r="57" spans="2:11" x14ac:dyDescent="0.15">
      <c r="B57" s="56"/>
      <c r="C57" s="57"/>
      <c r="D57" s="57"/>
      <c r="E57" s="57"/>
      <c r="F57" s="111"/>
      <c r="G57" s="112"/>
      <c r="H57" s="112"/>
      <c r="I57" s="112"/>
      <c r="J57" s="112"/>
    </row>
  </sheetData>
  <mergeCells count="50">
    <mergeCell ref="C2:F2"/>
    <mergeCell ref="B19:J19"/>
    <mergeCell ref="B10:C10"/>
    <mergeCell ref="E10:G10"/>
    <mergeCell ref="C7:F8"/>
    <mergeCell ref="H7:H8"/>
    <mergeCell ref="E5:H6"/>
    <mergeCell ref="E3:H3"/>
    <mergeCell ref="E4:H4"/>
    <mergeCell ref="L10:M10"/>
    <mergeCell ref="N10:O10"/>
    <mergeCell ref="G44:I44"/>
    <mergeCell ref="G38:I38"/>
    <mergeCell ref="G39:I39"/>
    <mergeCell ref="G40:I40"/>
    <mergeCell ref="G41:I41"/>
    <mergeCell ref="G42:I42"/>
    <mergeCell ref="G43:I43"/>
    <mergeCell ref="G32:I32"/>
    <mergeCell ref="G33:I33"/>
    <mergeCell ref="G34:I34"/>
    <mergeCell ref="G35:I35"/>
    <mergeCell ref="G36:I36"/>
    <mergeCell ref="I17:J17"/>
    <mergeCell ref="L17:M17"/>
    <mergeCell ref="G47:I47"/>
    <mergeCell ref="G20:I20"/>
    <mergeCell ref="D12:E12"/>
    <mergeCell ref="D14:E14"/>
    <mergeCell ref="G27:I27"/>
    <mergeCell ref="G28:I28"/>
    <mergeCell ref="G26:I26"/>
    <mergeCell ref="C17:F17"/>
    <mergeCell ref="G37:I37"/>
    <mergeCell ref="N17:O17"/>
    <mergeCell ref="F57:J57"/>
    <mergeCell ref="G48:I48"/>
    <mergeCell ref="G49:I49"/>
    <mergeCell ref="G50:I50"/>
    <mergeCell ref="G21:I21"/>
    <mergeCell ref="G22:I22"/>
    <mergeCell ref="G23:I23"/>
    <mergeCell ref="G24:I24"/>
    <mergeCell ref="G25:I25"/>
    <mergeCell ref="G29:I29"/>
    <mergeCell ref="G30:I30"/>
    <mergeCell ref="G31:I31"/>
    <mergeCell ref="B52:F52"/>
    <mergeCell ref="G45:I45"/>
    <mergeCell ref="G46:I46"/>
  </mergeCells>
  <printOptions horizontalCentered="1" verticalCentered="1"/>
  <pageMargins left="0.39370078740157483" right="0.39370078740157483" top="0.39370078740157483" bottom="0.39370078740157483" header="0.15748031496062992" footer="0.15748031496062992"/>
  <pageSetup scale="43"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E900F-F270-644D-8463-167507B73A41}">
  <sheetPr>
    <pageSetUpPr fitToPage="1"/>
  </sheetPr>
  <dimension ref="B1:O57"/>
  <sheetViews>
    <sheetView zoomScale="115" zoomScaleNormal="115" zoomScalePageLayoutView="75" workbookViewId="0">
      <selection activeCell="F43" sqref="F43"/>
    </sheetView>
  </sheetViews>
  <sheetFormatPr baseColWidth="10" defaultColWidth="8.83203125" defaultRowHeight="13" x14ac:dyDescent="0.15"/>
  <cols>
    <col min="1" max="1" width="1.83203125" customWidth="1"/>
    <col min="2" max="2" width="12.83203125" customWidth="1"/>
    <col min="3" max="4" width="15.83203125" customWidth="1"/>
    <col min="5" max="5" width="25.83203125" customWidth="1"/>
    <col min="6" max="6" width="40.83203125" customWidth="1"/>
    <col min="7" max="7" width="12.83203125" customWidth="1"/>
    <col min="8" max="8" width="25.83203125" customWidth="1"/>
    <col min="9" max="9" width="30.83203125" customWidth="1"/>
    <col min="10" max="10" width="25.83203125" customWidth="1"/>
    <col min="11" max="11" width="1.83203125" customWidth="1"/>
    <col min="12" max="12" width="8.83203125" customWidth="1"/>
  </cols>
  <sheetData>
    <row r="1" spans="2:15" x14ac:dyDescent="0.15">
      <c r="K1" s="75"/>
      <c r="L1" s="75"/>
      <c r="M1" s="75"/>
    </row>
    <row r="2" spans="2:15" ht="18" x14ac:dyDescent="0.2">
      <c r="C2" s="129" t="s">
        <v>33</v>
      </c>
      <c r="D2" s="129"/>
      <c r="E2" s="129"/>
      <c r="F2" s="129"/>
      <c r="G2" s="55"/>
      <c r="H2" s="55"/>
      <c r="I2" s="78" t="s">
        <v>58</v>
      </c>
      <c r="J2" s="79">
        <f>'Control Entry'!B4</f>
        <v>45472</v>
      </c>
      <c r="K2" s="55"/>
      <c r="L2" s="55"/>
    </row>
    <row r="3" spans="2:15" ht="45" customHeight="1" x14ac:dyDescent="0.45">
      <c r="D3" s="12"/>
      <c r="E3" s="138" t="s">
        <v>29</v>
      </c>
      <c r="F3" s="138"/>
      <c r="G3" s="138"/>
      <c r="H3" s="138"/>
      <c r="I3" s="66" t="s">
        <v>60</v>
      </c>
      <c r="J3" s="71">
        <f>IF(ISBLANK(Brevet_Number),"",Brevet_Number)</f>
        <v>5406</v>
      </c>
      <c r="K3" s="39"/>
      <c r="L3" s="39"/>
    </row>
    <row r="4" spans="2:15" ht="20" customHeight="1" x14ac:dyDescent="0.15">
      <c r="C4" s="12"/>
      <c r="E4" s="139" t="str">
        <f>IF(ISBLANK(Brevet_Length),"",Brevet_Length&amp;" km Randonnée")</f>
        <v>200 km Randonnée</v>
      </c>
      <c r="F4" s="139"/>
      <c r="G4" s="139"/>
      <c r="H4" s="139"/>
      <c r="K4" s="51"/>
      <c r="L4" s="51"/>
    </row>
    <row r="5" spans="2:15" ht="20" customHeight="1" x14ac:dyDescent="0.2">
      <c r="D5" s="52"/>
      <c r="E5" s="137" t="str">
        <f>IF(ISBLANK(Brevet_Description),"",Brevet_Description)</f>
        <v>Old Rails and Trails</v>
      </c>
      <c r="F5" s="137"/>
      <c r="G5" s="137"/>
      <c r="H5" s="137"/>
      <c r="I5" s="74"/>
      <c r="J5" s="52"/>
      <c r="K5" s="52"/>
      <c r="L5" s="52"/>
    </row>
    <row r="6" spans="2:15" ht="20" x14ac:dyDescent="0.2">
      <c r="D6" s="67"/>
      <c r="E6" s="137"/>
      <c r="F6" s="137"/>
      <c r="G6" s="137"/>
      <c r="H6" s="137"/>
      <c r="I6" s="74"/>
      <c r="J6" s="67"/>
      <c r="K6" s="52"/>
      <c r="L6" s="52"/>
    </row>
    <row r="7" spans="2:15" ht="25" customHeight="1" x14ac:dyDescent="0.15">
      <c r="C7" s="133"/>
      <c r="D7" s="133"/>
      <c r="E7" s="133"/>
      <c r="F7" s="133"/>
      <c r="H7" s="135"/>
    </row>
    <row r="8" spans="2:15" ht="21" thickBot="1" x14ac:dyDescent="0.25">
      <c r="B8" s="17" t="s">
        <v>61</v>
      </c>
      <c r="C8" s="134"/>
      <c r="D8" s="134"/>
      <c r="E8" s="134"/>
      <c r="F8" s="134"/>
      <c r="G8" s="17" t="s">
        <v>31</v>
      </c>
      <c r="H8" s="136"/>
      <c r="I8" s="53"/>
      <c r="J8" s="53"/>
      <c r="K8" s="53"/>
    </row>
    <row r="9" spans="2:15" ht="22" customHeight="1" x14ac:dyDescent="0.15">
      <c r="B9" s="58"/>
      <c r="C9" s="58"/>
      <c r="D9" s="58"/>
      <c r="E9" s="58"/>
      <c r="F9" s="54"/>
      <c r="G9" s="60"/>
      <c r="H9" s="60"/>
      <c r="I9" s="60"/>
      <c r="J9" s="54"/>
    </row>
    <row r="10" spans="2:15" ht="20" customHeight="1" x14ac:dyDescent="0.15">
      <c r="B10" s="131" t="s">
        <v>34</v>
      </c>
      <c r="C10" s="131"/>
      <c r="D10" s="64" t="s">
        <v>35</v>
      </c>
      <c r="E10" s="132" t="s">
        <v>57</v>
      </c>
      <c r="F10" s="132"/>
      <c r="G10" s="132"/>
      <c r="H10" s="70"/>
      <c r="I10" s="59"/>
      <c r="J10" s="59"/>
      <c r="K10" s="19"/>
      <c r="L10" s="110"/>
      <c r="M10" s="110"/>
      <c r="N10" s="110"/>
      <c r="O10" s="110"/>
    </row>
    <row r="11" spans="2:15" ht="23" x14ac:dyDescent="0.15">
      <c r="B11" s="58"/>
      <c r="C11" s="58" t="s">
        <v>73</v>
      </c>
      <c r="D11" s="58"/>
      <c r="E11" s="58"/>
      <c r="F11" s="54"/>
      <c r="G11" s="60"/>
      <c r="H11" s="60"/>
      <c r="I11" s="60"/>
      <c r="J11" s="54"/>
    </row>
    <row r="12" spans="2:15" ht="21" thickBot="1" x14ac:dyDescent="0.25">
      <c r="D12" s="126" t="s">
        <v>19</v>
      </c>
      <c r="E12" s="126"/>
      <c r="F12" s="69">
        <f>IF(ISBLANK('Control Entry'!B12),"",'Control Entry'!B12)</f>
        <v>45486</v>
      </c>
      <c r="G12" s="73"/>
      <c r="H12" s="17" t="s">
        <v>63</v>
      </c>
      <c r="I12" s="68">
        <f>IF(ISBLANK('Control Entry'!B13),"",'Control Entry'!B13)</f>
        <v>0.29166666666666669</v>
      </c>
      <c r="J12" s="23"/>
    </row>
    <row r="13" spans="2:15" ht="20" x14ac:dyDescent="0.2">
      <c r="D13" s="22"/>
      <c r="E13" s="22"/>
      <c r="F13" s="21"/>
      <c r="G13" s="21"/>
      <c r="H13" s="21"/>
      <c r="L13" s="23"/>
      <c r="M13" s="23"/>
      <c r="N13" s="23"/>
    </row>
    <row r="14" spans="2:15" ht="21" thickBot="1" x14ac:dyDescent="0.25">
      <c r="D14" s="126" t="s">
        <v>62</v>
      </c>
      <c r="E14" s="126"/>
      <c r="F14" s="69"/>
      <c r="G14" s="73"/>
      <c r="H14" s="17" t="s">
        <v>64</v>
      </c>
      <c r="I14" s="68"/>
      <c r="J14" s="23"/>
      <c r="L14" s="45"/>
      <c r="M14" s="45"/>
      <c r="N14" s="45"/>
    </row>
    <row r="15" spans="2:15" ht="20" x14ac:dyDescent="0.2">
      <c r="B15" s="22"/>
      <c r="C15" s="22"/>
      <c r="D15" s="21"/>
      <c r="E15" s="21"/>
      <c r="H15" s="21"/>
    </row>
    <row r="16" spans="2:15" ht="21" thickBot="1" x14ac:dyDescent="0.25">
      <c r="C16" s="65"/>
      <c r="D16" s="65"/>
      <c r="E16" s="65"/>
      <c r="F16" s="65"/>
      <c r="H16" s="17" t="s">
        <v>65</v>
      </c>
      <c r="I16" s="68"/>
      <c r="J16" s="23"/>
      <c r="L16" s="45"/>
      <c r="M16" s="45"/>
      <c r="N16" s="45"/>
    </row>
    <row r="17" spans="2:15" ht="20" x14ac:dyDescent="0.15">
      <c r="C17" s="127" t="s">
        <v>14</v>
      </c>
      <c r="D17" s="127"/>
      <c r="E17" s="127"/>
      <c r="F17" s="127"/>
      <c r="G17" s="19"/>
      <c r="H17" s="19"/>
      <c r="I17" s="128"/>
      <c r="J17" s="128"/>
      <c r="K17" s="19"/>
      <c r="L17" s="110"/>
      <c r="M17" s="110"/>
      <c r="N17" s="110"/>
      <c r="O17" s="110"/>
    </row>
    <row r="18" spans="2:15" ht="6" customHeight="1" thickBot="1" x14ac:dyDescent="0.2">
      <c r="B18" s="61"/>
      <c r="C18" s="61"/>
      <c r="D18" s="61"/>
      <c r="E18" s="61"/>
      <c r="F18" s="62"/>
      <c r="G18" s="63"/>
      <c r="H18" s="63"/>
      <c r="I18" s="63"/>
      <c r="J18" s="62"/>
    </row>
    <row r="19" spans="2:15" ht="22" thickTop="1" thickBot="1" x14ac:dyDescent="0.2">
      <c r="B19" s="130" t="s">
        <v>50</v>
      </c>
      <c r="C19" s="130"/>
      <c r="D19" s="130"/>
      <c r="E19" s="130"/>
      <c r="F19" s="130"/>
      <c r="G19" s="130"/>
      <c r="H19" s="130"/>
      <c r="I19" s="130"/>
      <c r="J19" s="130"/>
    </row>
    <row r="20" spans="2:15" ht="20" thickBot="1" x14ac:dyDescent="0.25">
      <c r="B20" s="50" t="s">
        <v>26</v>
      </c>
      <c r="C20" s="8" t="s">
        <v>0</v>
      </c>
      <c r="D20" s="8" t="s">
        <v>1</v>
      </c>
      <c r="E20" s="8" t="s">
        <v>22</v>
      </c>
      <c r="F20" s="8" t="s">
        <v>27</v>
      </c>
      <c r="G20" s="123" t="s">
        <v>36</v>
      </c>
      <c r="H20" s="124"/>
      <c r="I20" s="125"/>
      <c r="J20" s="50" t="s">
        <v>28</v>
      </c>
    </row>
    <row r="21" spans="2:15" ht="40" customHeight="1" x14ac:dyDescent="0.25">
      <c r="B21" s="88"/>
      <c r="C21" s="100">
        <f>'Control Entry'!N$28</f>
        <v>45486.291666666664</v>
      </c>
      <c r="D21" s="100">
        <f>'Control Entry'!O$28</f>
        <v>45486.333333333328</v>
      </c>
      <c r="E21" s="89"/>
      <c r="F21" s="90" t="str">
        <f>IF(ISBLANK('Control Entry'!F$28),"",'Control Entry'!F$28)</f>
        <v xml:space="preserve">Lost Airmen of </v>
      </c>
      <c r="G21" s="113" t="str">
        <f>IF(ISBLANK('Control Entry'!I$28),"",'Control Entry'!I$28)</f>
        <v>Concrete posts beside path</v>
      </c>
      <c r="H21" s="114"/>
      <c r="I21" s="115"/>
      <c r="J21" s="91"/>
    </row>
    <row r="22" spans="2:15" ht="40" customHeight="1" x14ac:dyDescent="0.25">
      <c r="B22" s="92">
        <f>IF(ISBLANK('Control Entry'!D$28),"",'Control Entry'!D$28)</f>
        <v>0</v>
      </c>
      <c r="C22" s="93">
        <f>'Control Entry'!N$28</f>
        <v>45486.291666666664</v>
      </c>
      <c r="D22" s="93">
        <f>'Control Entry'!O$28</f>
        <v>45486.333333333328</v>
      </c>
      <c r="E22" s="90" t="str">
        <f>IF(ISBLANK('Control Entry'!E$28),"",'Control Entry'!E$28)</f>
        <v>NORTH SAANICH</v>
      </c>
      <c r="F22" s="90" t="str">
        <f>IF(ISBLANK('Control Entry'!G$28),"",'Control Entry'!G$28)</f>
        <v>the Empire Park</v>
      </c>
      <c r="G22" s="116" t="str">
        <f>IF(ISBLANK('Control Entry'!J$28),"",'Control Entry'!J$28)</f>
        <v>Right post plaque</v>
      </c>
      <c r="H22" s="117"/>
      <c r="I22" s="118"/>
      <c r="J22" s="94"/>
    </row>
    <row r="23" spans="2:15" ht="40" customHeight="1" thickBot="1" x14ac:dyDescent="0.3">
      <c r="B23" s="95"/>
      <c r="C23" s="101">
        <f>'Control Entry'!N$28</f>
        <v>45486.291666666664</v>
      </c>
      <c r="D23" s="101">
        <f>'Control Entry'!O$28</f>
        <v>45486.333333333328</v>
      </c>
      <c r="E23" s="96"/>
      <c r="F23" s="97" t="str">
        <f>IF(ISBLANK('Control Entry'!H$28),"",'Control Entry'!H$28)</f>
        <v>The Flight Path, Mills Rd</v>
      </c>
      <c r="G23" s="119" t="str">
        <f>IF(ISBLANK('Control Entry'!K$28),"",'Control Entry'!K$28)</f>
        <v>Patricia Bay 1939 -    ___________</v>
      </c>
      <c r="H23" s="120"/>
      <c r="I23" s="121"/>
      <c r="J23" s="98"/>
    </row>
    <row r="24" spans="2:15" ht="40" customHeight="1" x14ac:dyDescent="0.25">
      <c r="B24" s="88"/>
      <c r="C24" s="100">
        <f>'Control Entry'!N$29</f>
        <v>45486.35</v>
      </c>
      <c r="D24" s="100">
        <f>'Control Entry'!O$29</f>
        <v>45486.432638888888</v>
      </c>
      <c r="E24" s="89"/>
      <c r="F24" s="90" t="str">
        <f>IF(ISBLANK('Control Entry'!F$29),"",'Control Entry'!F$29)</f>
        <v>Portage Park</v>
      </c>
      <c r="G24" s="113" t="str">
        <f>IF(ISBLANK('Control Entry'!I$29),"",'Control Entry'!I$29)</f>
        <v>Water fountain</v>
      </c>
      <c r="H24" s="114"/>
      <c r="I24" s="115"/>
      <c r="J24" s="91"/>
    </row>
    <row r="25" spans="2:15" ht="40" customHeight="1" x14ac:dyDescent="0.25">
      <c r="B25" s="92">
        <f>IF(ISBLANK('Control Entry'!D$29),"",'Control Entry'!D$29)</f>
        <v>47.6</v>
      </c>
      <c r="C25" s="93">
        <f>'Control Entry'!N$29</f>
        <v>45486.35</v>
      </c>
      <c r="D25" s="93">
        <f>'Control Entry'!O$29</f>
        <v>45486.432638888888</v>
      </c>
      <c r="E25" s="90" t="str">
        <f>IF(ISBLANK('Control Entry'!E$29),"",'Control Entry'!E$29)</f>
        <v>VIEW ROYAL</v>
      </c>
      <c r="F25" s="90" t="str">
        <f>IF(ISBLANK('Control Entry'!G$29),"",'Control Entry'!G$29)</f>
        <v>45 Island View Ave</v>
      </c>
      <c r="G25" s="116" t="str">
        <f>IF(ISBLANK('Control Entry'!J$29),"",'Control Entry'!J$29)</f>
        <v>Which side of info sign?</v>
      </c>
      <c r="H25" s="117"/>
      <c r="I25" s="118"/>
      <c r="J25" s="94"/>
    </row>
    <row r="26" spans="2:15" ht="40" customHeight="1" thickBot="1" x14ac:dyDescent="0.3">
      <c r="B26" s="95"/>
      <c r="C26" s="101">
        <f>'Control Entry'!N$29</f>
        <v>45486.35</v>
      </c>
      <c r="D26" s="101">
        <f>'Control Entry'!O$29</f>
        <v>45486.432638888888</v>
      </c>
      <c r="E26" s="96"/>
      <c r="F26" s="97" t="str">
        <f>IF(ISBLANK('Control Entry'!H$29),"",'Control Entry'!H$29)</f>
        <v>You're on the trail, though</v>
      </c>
      <c r="G26" s="119" t="str">
        <f>IF(ISBLANK('Control Entry'!K$29),"",'Control Entry'!K$29)</f>
        <v>LEFT          RIGHT</v>
      </c>
      <c r="H26" s="120"/>
      <c r="I26" s="121"/>
      <c r="J26" s="98"/>
    </row>
    <row r="27" spans="2:15" ht="40" customHeight="1" x14ac:dyDescent="0.25">
      <c r="B27" s="88"/>
      <c r="C27" s="100">
        <f>'Control Entry'!N$30</f>
        <v>45486.368749999994</v>
      </c>
      <c r="D27" s="100">
        <f>'Control Entry'!O$30</f>
        <v>45486.46597222222</v>
      </c>
      <c r="E27" s="89"/>
      <c r="F27" s="90" t="str">
        <f>IF(ISBLANK('Control Entry'!F$30),"",'Control Entry'!F$30)</f>
        <v xml:space="preserve">Harvest Lane Park </v>
      </c>
      <c r="G27" s="113" t="str">
        <f>IF(ISBLANK('Control Entry'!I$30),"",'Control Entry'!I$30)</f>
        <v>Under steps to slide</v>
      </c>
      <c r="H27" s="114"/>
      <c r="I27" s="115"/>
      <c r="J27" s="91"/>
    </row>
    <row r="28" spans="2:15" ht="40" customHeight="1" x14ac:dyDescent="0.25">
      <c r="B28" s="92">
        <f>IF(ISBLANK('Control Entry'!D$30),"",'Control Entry'!D$30)</f>
        <v>62.8</v>
      </c>
      <c r="C28" s="93">
        <f>'Control Entry'!N$30</f>
        <v>45486.368749999994</v>
      </c>
      <c r="D28" s="93">
        <f>'Control Entry'!O$30</f>
        <v>45486.46597222222</v>
      </c>
      <c r="E28" s="90" t="str">
        <f>IF(ISBLANK('Control Entry'!E$30),"",'Control Entry'!E$30)</f>
        <v>SAANICH</v>
      </c>
      <c r="F28" s="90" t="str">
        <f>IF(ISBLANK('Control Entry'!G$30),"",'Control Entry'!G$30)</f>
        <v>1457 Harvest Ln</v>
      </c>
      <c r="G28" s="116" t="str">
        <f>IF(ISBLANK('Control Entry'!J$30),"",'Control Entry'!J$30)</f>
        <v/>
      </c>
      <c r="H28" s="117"/>
      <c r="I28" s="118"/>
      <c r="J28" s="94"/>
    </row>
    <row r="29" spans="2:15" ht="40" customHeight="1" thickBot="1" x14ac:dyDescent="0.3">
      <c r="B29" s="95"/>
      <c r="C29" s="101">
        <f>'Control Entry'!N$30</f>
        <v>45486.368749999994</v>
      </c>
      <c r="D29" s="101">
        <f>'Control Entry'!O$30</f>
        <v>45486.46597222222</v>
      </c>
      <c r="E29" s="96"/>
      <c r="F29" s="97" t="str">
        <f>IF(ISBLANK('Control Entry'!H$30),"",'Control Entry'!H$30)</f>
        <v/>
      </c>
      <c r="G29" s="119" t="str">
        <f>IF(ISBLANK('Control Entry'!K$30),"",'Control Entry'!K$30)</f>
        <v>"There's magical _________within"?</v>
      </c>
      <c r="H29" s="120"/>
      <c r="I29" s="121"/>
      <c r="J29" s="98"/>
    </row>
    <row r="30" spans="2:15" ht="40" customHeight="1" x14ac:dyDescent="0.25">
      <c r="B30" s="88"/>
      <c r="C30" s="100">
        <f>'Control Entry'!N$31</f>
        <v>45486.383333333331</v>
      </c>
      <c r="D30" s="100">
        <f>'Control Entry'!O$31</f>
        <v>45486.499305555553</v>
      </c>
      <c r="E30" s="89"/>
      <c r="F30" s="90" t="str">
        <f>IF(ISBLANK('Control Entry'!F$31),"",'Control Entry'!F$31)</f>
        <v>Anderson Hill Park</v>
      </c>
      <c r="G30" s="113" t="str">
        <f>IF(ISBLANK('Control Entry'!I$31),"",'Control Entry'!I$31)</f>
        <v>Entry arch to park,</v>
      </c>
      <c r="H30" s="114"/>
      <c r="I30" s="115"/>
      <c r="J30" s="91"/>
    </row>
    <row r="31" spans="2:15" ht="40" customHeight="1" x14ac:dyDescent="0.25">
      <c r="B31" s="92">
        <f>IF(ISBLANK('Control Entry'!D$31),"",'Control Entry'!D$31)</f>
        <v>74.8</v>
      </c>
      <c r="C31" s="93">
        <f>'Control Entry'!N$31</f>
        <v>45486.383333333331</v>
      </c>
      <c r="D31" s="93">
        <f>'Control Entry'!O$31</f>
        <v>45486.499305555553</v>
      </c>
      <c r="E31" s="90" t="str">
        <f>IF(ISBLANK('Control Entry'!E$31),"",'Control Entry'!E$31)</f>
        <v>OAK BAY</v>
      </c>
      <c r="F31" s="90" t="str">
        <f>IF(ISBLANK('Control Entry'!G$31),"",'Control Entry'!G$31)</f>
        <v>572 Island Rd</v>
      </c>
      <c r="G31" s="116" t="str">
        <f>IF(ISBLANK('Control Entry'!J$31),"",'Control Entry'!J$31)</f>
        <v/>
      </c>
      <c r="H31" s="117"/>
      <c r="I31" s="118"/>
      <c r="J31" s="94"/>
    </row>
    <row r="32" spans="2:15" ht="40" customHeight="1" thickBot="1" x14ac:dyDescent="0.3">
      <c r="B32" s="95"/>
      <c r="C32" s="101">
        <f>'Control Entry'!N$31</f>
        <v>45486.383333333331</v>
      </c>
      <c r="D32" s="101">
        <f>'Control Entry'!O$31</f>
        <v>45486.499305555553</v>
      </c>
      <c r="E32" s="96"/>
      <c r="F32" s="97" t="str">
        <f>IF(ISBLANK('Control Entry'!H$31),"",'Control Entry'!H$31)</f>
        <v/>
      </c>
      <c r="G32" s="119" t="str">
        <f>IF(ISBLANK('Control Entry'!K$31),"",'Control Entry'!K$31)</f>
        <v>How many signs on left post?</v>
      </c>
      <c r="H32" s="120"/>
      <c r="I32" s="121"/>
      <c r="J32" s="98"/>
    </row>
    <row r="33" spans="2:10" ht="40" customHeight="1" x14ac:dyDescent="0.25">
      <c r="B33" s="88"/>
      <c r="C33" s="100">
        <f>'Control Entry'!N$32</f>
        <v>45486.393749999996</v>
      </c>
      <c r="D33" s="100">
        <f>'Control Entry'!O$32</f>
        <v>45486.523611111108</v>
      </c>
      <c r="E33" s="89"/>
      <c r="F33" s="90" t="str">
        <f>IF(ISBLANK('Control Entry'!F$32),"",'Control Entry'!F$32)</f>
        <v>HMCS Malahat</v>
      </c>
      <c r="G33" s="113" t="str">
        <f>IF(ISBLANK('Control Entry'!I$32),"",'Control Entry'!I$32)</f>
        <v>Outside left of entrance</v>
      </c>
      <c r="H33" s="114"/>
      <c r="I33" s="115"/>
      <c r="J33" s="91"/>
    </row>
    <row r="34" spans="2:10" ht="40" customHeight="1" x14ac:dyDescent="0.25">
      <c r="B34" s="92">
        <f>IF(ISBLANK('Control Entry'!D$32),"",'Control Entry'!D$32)</f>
        <v>83.5</v>
      </c>
      <c r="C34" s="93">
        <f>'Control Entry'!N$32</f>
        <v>45486.393749999996</v>
      </c>
      <c r="D34" s="93">
        <f>'Control Entry'!O$32</f>
        <v>45486.523611111108</v>
      </c>
      <c r="E34" s="90" t="str">
        <f>IF(ISBLANK('Control Entry'!E$32),"",'Control Entry'!E$32)</f>
        <v>VICTORIA</v>
      </c>
      <c r="F34" s="90" t="str">
        <f>IF(ISBLANK('Control Entry'!G$32),"",'Control Entry'!G$32)</f>
        <v>20 Huron St</v>
      </c>
      <c r="G34" s="116" t="str">
        <f>IF(ISBLANK('Control Entry'!J$32),"",'Control Entry'!J$32)</f>
        <v/>
      </c>
      <c r="H34" s="117"/>
      <c r="I34" s="118"/>
      <c r="J34" s="94"/>
    </row>
    <row r="35" spans="2:10" ht="40" customHeight="1" thickBot="1" x14ac:dyDescent="0.3">
      <c r="B35" s="95"/>
      <c r="C35" s="101">
        <f>'Control Entry'!N$32</f>
        <v>45486.393749999996</v>
      </c>
      <c r="D35" s="101">
        <f>'Control Entry'!O$32</f>
        <v>45486.523611111108</v>
      </c>
      <c r="E35" s="96"/>
      <c r="F35" s="97" t="str">
        <f>IF(ISBLANK('Control Entry'!H$32),"",'Control Entry'!H$32)</f>
        <v/>
      </c>
      <c r="G35" s="119" t="str">
        <f>IF(ISBLANK('Control Entry'!K$32),"",'Control Entry'!K$32)</f>
        <v>What is the big black sculpture thing?</v>
      </c>
      <c r="H35" s="120"/>
      <c r="I35" s="121"/>
      <c r="J35" s="98"/>
    </row>
    <row r="36" spans="2:10" ht="40" customHeight="1" x14ac:dyDescent="0.25">
      <c r="B36" s="88"/>
      <c r="C36" s="100">
        <f>'Control Entry'!N$33</f>
        <v>45486.408333333333</v>
      </c>
      <c r="D36" s="100">
        <f>'Control Entry'!O$33</f>
        <v>45486.556944444441</v>
      </c>
      <c r="E36" s="89"/>
      <c r="F36" s="90" t="str">
        <f>IF(ISBLANK('Control Entry'!F$33),"",'Control Entry'!F$33)</f>
        <v xml:space="preserve">Galloping Goose </v>
      </c>
      <c r="G36" s="113" t="str">
        <f>IF(ISBLANK('Control Entry'!I$33),"",'Control Entry'!I$33)</f>
        <v>Bicycle art in front of bench</v>
      </c>
      <c r="H36" s="114"/>
      <c r="I36" s="115"/>
      <c r="J36" s="91"/>
    </row>
    <row r="37" spans="2:10" ht="40" customHeight="1" x14ac:dyDescent="0.25">
      <c r="B37" s="92">
        <f>IF(ISBLANK('Control Entry'!D$33),"",'Control Entry'!D$33)</f>
        <v>95.4</v>
      </c>
      <c r="C37" s="93">
        <f>'Control Entry'!N$33</f>
        <v>45486.408333333333</v>
      </c>
      <c r="D37" s="93">
        <f>'Control Entry'!O$33</f>
        <v>45486.556944444441</v>
      </c>
      <c r="E37" s="90" t="str">
        <f>IF(ISBLANK('Control Entry'!E$33),"",'Control Entry'!E$33)</f>
        <v>VIEW ROYAL</v>
      </c>
      <c r="F37" s="90" t="str">
        <f>IF(ISBLANK('Control Entry'!G$33),"",'Control Entry'!G$33)</f>
        <v>Regional Park</v>
      </c>
      <c r="G37" s="116" t="str">
        <f>IF(ISBLANK('Control Entry'!J$33),"",'Control Entry'!J$33)</f>
        <v>What size?</v>
      </c>
      <c r="H37" s="117"/>
      <c r="I37" s="118"/>
      <c r="J37" s="94"/>
    </row>
    <row r="38" spans="2:10" ht="40" customHeight="1" thickBot="1" x14ac:dyDescent="0.3">
      <c r="B38" s="95"/>
      <c r="C38" s="101">
        <f>'Control Entry'!N$33</f>
        <v>45486.408333333333</v>
      </c>
      <c r="D38" s="101">
        <f>'Control Entry'!O$33</f>
        <v>45486.556944444441</v>
      </c>
      <c r="E38" s="96"/>
      <c r="F38" s="97" t="str">
        <f>IF(ISBLANK('Control Entry'!H$33),"",'Control Entry'!H$33)</f>
        <v>Atkins Rd parking lot</v>
      </c>
      <c r="G38" s="119" t="str">
        <f>IF(ISBLANK('Control Entry'!K$33),"",'Control Entry'!K$33)</f>
        <v>Small        Lifesize        Big</v>
      </c>
      <c r="H38" s="120"/>
      <c r="I38" s="121"/>
      <c r="J38" s="98"/>
    </row>
    <row r="39" spans="2:10" ht="40" customHeight="1" x14ac:dyDescent="0.25">
      <c r="B39" s="88"/>
      <c r="C39" s="100">
        <f>'Control Entry'!N$34</f>
        <v>45486.450694444444</v>
      </c>
      <c r="D39" s="100">
        <f>'Control Entry'!O$34</f>
        <v>45486.652083333334</v>
      </c>
      <c r="E39" s="89"/>
      <c r="F39" s="90" t="str">
        <f>IF(ISBLANK('Control Entry'!F$34),"",'Control Entry'!F$34)</f>
        <v xml:space="preserve">Galloping Goose </v>
      </c>
      <c r="G39" s="113" t="str">
        <f>IF(ISBLANK('Control Entry'!I$34),"",'Control Entry'!I$34)</f>
        <v>Bottom of green Info sign by washroom</v>
      </c>
      <c r="H39" s="114"/>
      <c r="I39" s="115"/>
      <c r="J39" s="91"/>
    </row>
    <row r="40" spans="2:10" ht="40" customHeight="1" x14ac:dyDescent="0.25">
      <c r="B40" s="92">
        <f>IF(ISBLANK('Control Entry'!D$34),"",'Control Entry'!D$34)</f>
        <v>129.69999999999999</v>
      </c>
      <c r="C40" s="93">
        <f>'Control Entry'!N$34</f>
        <v>45486.450694444444</v>
      </c>
      <c r="D40" s="93">
        <f>'Control Entry'!O$34</f>
        <v>45486.652083333334</v>
      </c>
      <c r="E40" s="90" t="str">
        <f>IF(ISBLANK('Control Entry'!E$34),"",'Control Entry'!E$34)</f>
        <v>SOOKE</v>
      </c>
      <c r="F40" s="90" t="str">
        <f>IF(ISBLANK('Control Entry'!G$34),"",'Control Entry'!G$34)</f>
        <v>Regional Park</v>
      </c>
      <c r="G40" s="116" t="str">
        <f>IF(ISBLANK('Control Entry'!J$34),"",'Control Entry'!J$34)</f>
        <v/>
      </c>
      <c r="H40" s="117"/>
      <c r="I40" s="118"/>
      <c r="J40" s="94"/>
    </row>
    <row r="41" spans="2:10" ht="40" customHeight="1" thickBot="1" x14ac:dyDescent="0.3">
      <c r="B41" s="95"/>
      <c r="C41" s="101">
        <f>'Control Entry'!N$34</f>
        <v>45486.450694444444</v>
      </c>
      <c r="D41" s="101">
        <f>'Control Entry'!O$34</f>
        <v>45486.652083333334</v>
      </c>
      <c r="E41" s="96"/>
      <c r="F41" s="97" t="str">
        <f>IF(ISBLANK('Control Entry'!H$34),"",'Control Entry'!H$34)</f>
        <v>Sooke River Rd parking lot</v>
      </c>
      <c r="G41" s="119" t="str">
        <f>IF(ISBLANK('Control Entry'!K$34),"",'Control Entry'!K$34)</f>
        <v>Sooke _______ Historical Society</v>
      </c>
      <c r="H41" s="120"/>
      <c r="I41" s="121"/>
      <c r="J41" s="98"/>
    </row>
    <row r="42" spans="2:10" ht="40" customHeight="1" x14ac:dyDescent="0.25">
      <c r="B42" s="88"/>
      <c r="C42" s="100">
        <f>'Control Entry'!N$35</f>
        <v>45486.503472222219</v>
      </c>
      <c r="D42" s="100">
        <f>'Control Entry'!O$35</f>
        <v>45486.771527777775</v>
      </c>
      <c r="E42" s="89"/>
      <c r="F42" s="90" t="str">
        <f>IF(ISBLANK('Control Entry'!F$35),"",'Control Entry'!F$35)</f>
        <v>Copley West Park</v>
      </c>
      <c r="G42" s="113" t="str">
        <f>IF(ISBLANK('Control Entry'!I$35),"",'Control Entry'!I$35)</f>
        <v>Washroom building</v>
      </c>
      <c r="H42" s="114"/>
      <c r="I42" s="115"/>
      <c r="J42" s="91"/>
    </row>
    <row r="43" spans="2:10" ht="40" customHeight="1" x14ac:dyDescent="0.25">
      <c r="B43" s="92">
        <f>IF(ISBLANK('Control Entry'!D$35),"",'Control Entry'!D$35)</f>
        <v>172.8</v>
      </c>
      <c r="C43" s="93">
        <f>'Control Entry'!N$35</f>
        <v>45486.503472222219</v>
      </c>
      <c r="D43" s="93">
        <f>'Control Entry'!O$35</f>
        <v>45486.771527777775</v>
      </c>
      <c r="E43" s="90" t="str">
        <f>IF(ISBLANK('Control Entry'!E$35),"",'Control Entry'!E$35)</f>
        <v>SAANICH</v>
      </c>
      <c r="F43" s="90" t="str">
        <f>IF(ISBLANK('Control Entry'!G$35),"",'Control Entry'!G$35)</f>
        <v>598 Parkridge St</v>
      </c>
      <c r="G43" s="116" t="str">
        <f>IF(ISBLANK('Control Entry'!J$35),"",'Control Entry'!J$35)</f>
        <v>Which side of tennis court?</v>
      </c>
      <c r="H43" s="117"/>
      <c r="I43" s="118"/>
      <c r="J43" s="94"/>
    </row>
    <row r="44" spans="2:10" ht="40" customHeight="1" thickBot="1" x14ac:dyDescent="0.3">
      <c r="B44" s="95"/>
      <c r="C44" s="101">
        <f>'Control Entry'!N$35</f>
        <v>45486.503472222219</v>
      </c>
      <c r="D44" s="101">
        <f>'Control Entry'!O$35</f>
        <v>45486.771527777775</v>
      </c>
      <c r="E44" s="96"/>
      <c r="F44" s="97" t="str">
        <f>IF(ISBLANK('Control Entry'!H$35),"",'Control Entry'!H$35)</f>
        <v>You're on the trail, though</v>
      </c>
      <c r="G44" s="119" t="str">
        <f>IF(ISBLANK('Control Entry'!K$35),"",'Control Entry'!K$35)</f>
        <v>LEFT          RIGHT</v>
      </c>
      <c r="H44" s="120"/>
      <c r="I44" s="121"/>
      <c r="J44" s="98"/>
    </row>
    <row r="45" spans="2:10" ht="40" customHeight="1" x14ac:dyDescent="0.25">
      <c r="B45" s="88"/>
      <c r="C45" s="100">
        <f>'Control Entry'!N$36</f>
        <v>45486.537499999999</v>
      </c>
      <c r="D45" s="100">
        <f>'Control Entry'!O$36</f>
        <v>45486.854166666664</v>
      </c>
      <c r="E45" s="89"/>
      <c r="F45" s="90" t="str">
        <f>IF(ISBLANK('Control Entry'!F$36),"",'Control Entry'!F$36)</f>
        <v xml:space="preserve">Lost Airmen of </v>
      </c>
      <c r="G45" s="113" t="str">
        <f>IF(ISBLANK('Control Entry'!I$36),"",'Control Entry'!I$36)</f>
        <v>Self sign</v>
      </c>
      <c r="H45" s="114"/>
      <c r="I45" s="115"/>
      <c r="J45" s="91"/>
    </row>
    <row r="46" spans="2:10" ht="40" customHeight="1" x14ac:dyDescent="0.25">
      <c r="B46" s="92">
        <f>IF(ISBLANK('Control Entry'!D$36),"",'Control Entry'!D$36)</f>
        <v>200.3</v>
      </c>
      <c r="C46" s="93">
        <f>'Control Entry'!N$36</f>
        <v>45486.537499999999</v>
      </c>
      <c r="D46" s="93">
        <f>'Control Entry'!O$36</f>
        <v>45486.854166666664</v>
      </c>
      <c r="E46" s="90" t="str">
        <f>IF(ISBLANK('Control Entry'!E$36),"",'Control Entry'!E$36)</f>
        <v>NORTH SAANICH</v>
      </c>
      <c r="F46" s="90" t="str">
        <f>IF(ISBLANK('Control Entry'!G$36),"",'Control Entry'!G$36)</f>
        <v>the Empire Park</v>
      </c>
      <c r="G46" s="116" t="str">
        <f>IF(ISBLANK('Control Entry'!J$36),"",'Control Entry'!J$36)</f>
        <v/>
      </c>
      <c r="H46" s="117"/>
      <c r="I46" s="118"/>
      <c r="J46" s="94"/>
    </row>
    <row r="47" spans="2:10" ht="40" customHeight="1" thickBot="1" x14ac:dyDescent="0.3">
      <c r="B47" s="95"/>
      <c r="C47" s="101">
        <f>'Control Entry'!N$36</f>
        <v>45486.537499999999</v>
      </c>
      <c r="D47" s="101">
        <f>'Control Entry'!O$36</f>
        <v>45486.854166666664</v>
      </c>
      <c r="E47" s="96"/>
      <c r="F47" s="97" t="str">
        <f>IF(ISBLANK('Control Entry'!H$36),"",'Control Entry'!H$36)</f>
        <v>The Flight Path, Mills Rd</v>
      </c>
      <c r="G47" s="119" t="str">
        <f>IF(ISBLANK('Control Entry'!K$36),"",'Control Entry'!K$36)</f>
        <v/>
      </c>
      <c r="H47" s="120"/>
      <c r="I47" s="121"/>
      <c r="J47" s="98"/>
    </row>
    <row r="48" spans="2:10" ht="40" customHeight="1" x14ac:dyDescent="0.25">
      <c r="B48" s="88"/>
      <c r="C48" s="100" t="str">
        <f>'Control Entry'!N$37</f>
        <v/>
      </c>
      <c r="D48" s="100" t="str">
        <f>'Control Entry'!O$37</f>
        <v/>
      </c>
      <c r="E48" s="89"/>
      <c r="F48" s="90" t="str">
        <f>IF(ISBLANK('Control Entry'!F$37),"",'Control Entry'!F$37)</f>
        <v/>
      </c>
      <c r="G48" s="113" t="str">
        <f>IF(ISBLANK('Control Entry'!I$37),"",'Control Entry'!I$37)</f>
        <v/>
      </c>
      <c r="H48" s="114"/>
      <c r="I48" s="115"/>
      <c r="J48" s="91"/>
    </row>
    <row r="49" spans="2:11" ht="40" customHeight="1" x14ac:dyDescent="0.25">
      <c r="B49" s="92" t="str">
        <f>IF(ISBLANK('Control Entry'!D$37),"",'Control Entry'!D$37)</f>
        <v/>
      </c>
      <c r="C49" s="93" t="str">
        <f>'Control Entry'!N$37</f>
        <v/>
      </c>
      <c r="D49" s="93" t="str">
        <f>'Control Entry'!O$37</f>
        <v/>
      </c>
      <c r="E49" s="90" t="str">
        <f>IF(ISBLANK('Control Entry'!E$37),"",'Control Entry'!E$37)</f>
        <v/>
      </c>
      <c r="F49" s="90" t="str">
        <f>IF(ISBLANK('Control Entry'!G$37),"",'Control Entry'!G$37)</f>
        <v/>
      </c>
      <c r="G49" s="116" t="str">
        <f>IF(ISBLANK('Control Entry'!J$37),"",'Control Entry'!J$37)</f>
        <v/>
      </c>
      <c r="H49" s="117"/>
      <c r="I49" s="118"/>
      <c r="J49" s="94"/>
    </row>
    <row r="50" spans="2:11" ht="40" customHeight="1" thickBot="1" x14ac:dyDescent="0.3">
      <c r="B50" s="95"/>
      <c r="C50" s="101" t="str">
        <f>'Control Entry'!N$37</f>
        <v/>
      </c>
      <c r="D50" s="101" t="str">
        <f>'Control Entry'!O$37</f>
        <v/>
      </c>
      <c r="E50" s="96"/>
      <c r="F50" s="97" t="str">
        <f>IF(ISBLANK('Control Entry'!H$37),"",'Control Entry'!H$37)</f>
        <v/>
      </c>
      <c r="G50" s="119" t="str">
        <f>IF(ISBLANK('Control Entry'!K$37),"",'Control Entry'!K$37)</f>
        <v/>
      </c>
      <c r="H50" s="120"/>
      <c r="I50" s="121"/>
      <c r="J50" s="98"/>
    </row>
    <row r="52" spans="2:11" ht="24" customHeight="1" x14ac:dyDescent="0.15">
      <c r="B52" s="122" t="s">
        <v>30</v>
      </c>
      <c r="C52" s="122"/>
      <c r="D52" s="122"/>
      <c r="E52" s="122"/>
      <c r="F52" s="122"/>
      <c r="I52" s="58" t="s">
        <v>56</v>
      </c>
      <c r="J52" s="81" t="str">
        <f>IF(ISBLANK('Control Entry'!F10),"",'Control Entry'!F10)</f>
        <v>‭778-350-6119‬</v>
      </c>
      <c r="K52" s="54"/>
    </row>
    <row r="54" spans="2:11" x14ac:dyDescent="0.15">
      <c r="B54" s="76" t="s">
        <v>59</v>
      </c>
      <c r="C54" s="77">
        <f>'Control Entry'!B3</f>
        <v>45393</v>
      </c>
    </row>
    <row r="55" spans="2:11" ht="23" x14ac:dyDescent="0.15">
      <c r="B55" s="58"/>
      <c r="C55" s="58"/>
      <c r="D55" s="58"/>
      <c r="E55" s="58"/>
      <c r="F55" s="54"/>
      <c r="G55" s="60"/>
      <c r="H55" s="60"/>
      <c r="I55" s="60"/>
      <c r="J55" s="54"/>
    </row>
    <row r="56" spans="2:11" x14ac:dyDescent="0.15">
      <c r="E56" s="1"/>
    </row>
    <row r="57" spans="2:11" x14ac:dyDescent="0.15">
      <c r="B57" s="56"/>
      <c r="C57" s="57"/>
      <c r="D57" s="57"/>
      <c r="E57" s="57"/>
      <c r="F57" s="111"/>
      <c r="G57" s="112"/>
      <c r="H57" s="112"/>
      <c r="I57" s="112"/>
      <c r="J57" s="112"/>
    </row>
  </sheetData>
  <mergeCells count="50">
    <mergeCell ref="B52:F52"/>
    <mergeCell ref="F57:J57"/>
    <mergeCell ref="G45:I45"/>
    <mergeCell ref="G46:I46"/>
    <mergeCell ref="G47:I47"/>
    <mergeCell ref="G48:I48"/>
    <mergeCell ref="G49:I49"/>
    <mergeCell ref="G50:I50"/>
    <mergeCell ref="G44:I44"/>
    <mergeCell ref="G33:I33"/>
    <mergeCell ref="G34:I34"/>
    <mergeCell ref="G35:I35"/>
    <mergeCell ref="G36:I36"/>
    <mergeCell ref="G37:I37"/>
    <mergeCell ref="G38:I38"/>
    <mergeCell ref="G39:I39"/>
    <mergeCell ref="G40:I40"/>
    <mergeCell ref="G41:I41"/>
    <mergeCell ref="G42:I42"/>
    <mergeCell ref="G43:I43"/>
    <mergeCell ref="G32:I32"/>
    <mergeCell ref="G21:I21"/>
    <mergeCell ref="G22:I22"/>
    <mergeCell ref="G23:I23"/>
    <mergeCell ref="G24:I24"/>
    <mergeCell ref="G25:I25"/>
    <mergeCell ref="G26:I26"/>
    <mergeCell ref="G27:I27"/>
    <mergeCell ref="G28:I28"/>
    <mergeCell ref="G29:I29"/>
    <mergeCell ref="G30:I30"/>
    <mergeCell ref="G31:I31"/>
    <mergeCell ref="G20:I20"/>
    <mergeCell ref="B10:C10"/>
    <mergeCell ref="E10:G10"/>
    <mergeCell ref="L10:M10"/>
    <mergeCell ref="N10:O10"/>
    <mergeCell ref="D12:E12"/>
    <mergeCell ref="D14:E14"/>
    <mergeCell ref="C17:F17"/>
    <mergeCell ref="I17:J17"/>
    <mergeCell ref="L17:M17"/>
    <mergeCell ref="N17:O17"/>
    <mergeCell ref="B19:J19"/>
    <mergeCell ref="C2:F2"/>
    <mergeCell ref="E3:H3"/>
    <mergeCell ref="E4:H4"/>
    <mergeCell ref="E5:H6"/>
    <mergeCell ref="C7:F8"/>
    <mergeCell ref="H7:H8"/>
  </mergeCells>
  <printOptions horizontalCentered="1" verticalCentered="1"/>
  <pageMargins left="0.39370078740157483" right="0.39370078740157483" top="0.39370078740157483" bottom="0.39370078740157483" header="0.15748031496062992" footer="0.15748031496062992"/>
  <pageSetup scale="43"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Control Entry</vt:lpstr>
      <vt:lpstr>View Royal Start</vt:lpstr>
      <vt:lpstr>Sidney Start</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'Sidney Start'!Print_Area</vt:lpstr>
      <vt:lpstr>'View Royal Start'!Print_Area</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2024-04-13T04:32:14Z</cp:lastPrinted>
  <dcterms:created xsi:type="dcterms:W3CDTF">1997-11-12T04:43:39Z</dcterms:created>
  <dcterms:modified xsi:type="dcterms:W3CDTF">2024-06-30T00:57:05Z</dcterms:modified>
</cp:coreProperties>
</file>