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ocuments/BCR/2023/5278 AGM 200/"/>
    </mc:Choice>
  </mc:AlternateContent>
  <xr:revisionPtr revIDLastSave="0" documentId="13_ncr:1_{55CEDCF9-FC00-014B-84C1-DFA593708C7D}" xr6:coauthVersionLast="36" xr6:coauthVersionMax="36" xr10:uidLastSave="{00000000-0000-0000-0000-000000000000}"/>
  <bookViews>
    <workbookView xWindow="0" yWindow="500" windowWidth="25600" windowHeight="15500" tabRatio="509" xr2:uid="{00000000-000D-0000-FFFF-FFFF00000000}"/>
  </bookViews>
  <sheets>
    <sheet name="Control Entry" sheetId="1" r:id="rId1"/>
    <sheet name="Card #1" sheetId="7" r:id="rId2"/>
    <sheet name="Control Card #1" sheetId="2" r:id="rId3"/>
    <sheet name="Control Card #2" sheetId="3" r:id="rId4"/>
    <sheet name="Control Card #3" sheetId="4" r:id="rId5"/>
    <sheet name="Control Card #4" sheetId="5" r:id="rId6"/>
  </sheets>
  <definedNames>
    <definedName name="Address_1" localSheetId="1">#REF!</definedName>
    <definedName name="Address_1" localSheetId="3">#REF!</definedName>
    <definedName name="Address_1" localSheetId="4">#REF!</definedName>
    <definedName name="Address_1" localSheetId="5">#REF!</definedName>
    <definedName name="Address_1">#REF!</definedName>
    <definedName name="Address_2" localSheetId="1">#REF!</definedName>
    <definedName name="Address_2" localSheetId="3">#REF!</definedName>
    <definedName name="Address_2" localSheetId="4">#REF!</definedName>
    <definedName name="Address_2" localSheetId="5">#REF!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1">#REF!</definedName>
    <definedName name="City" localSheetId="3">#REF!</definedName>
    <definedName name="City" localSheetId="4">#REF!</definedName>
    <definedName name="City" localSheetId="5">#REF!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1">'Control Entry'!#REF!</definedName>
    <definedName name="Control_11" localSheetId="3">'Control Entry'!#REF!</definedName>
    <definedName name="Control_11" localSheetId="4">'Control Entry'!#REF!</definedName>
    <definedName name="Control_11" localSheetId="5">'Control Entry'!#REF!</definedName>
    <definedName name="Control_11">'Control Entry'!#REF!</definedName>
    <definedName name="Control_12" localSheetId="1">'Control Entry'!#REF!</definedName>
    <definedName name="Control_12" localSheetId="3">'Control Entry'!#REF!</definedName>
    <definedName name="Control_12" localSheetId="4">'Control Entry'!#REF!</definedName>
    <definedName name="Control_12" localSheetId="5">'Control Entry'!#REF!</definedName>
    <definedName name="Control_12">'Control Entry'!#REF!</definedName>
    <definedName name="Control_13" localSheetId="1">'Control Entry'!#REF!</definedName>
    <definedName name="Control_13" localSheetId="3">'Control Entry'!#REF!</definedName>
    <definedName name="Control_13" localSheetId="4">'Control Entry'!#REF!</definedName>
    <definedName name="Control_13" localSheetId="5">'Control Entry'!#REF!</definedName>
    <definedName name="Control_13">'Control Entry'!#REF!</definedName>
    <definedName name="Control_14" localSheetId="1">'Control Entry'!#REF!</definedName>
    <definedName name="Control_14" localSheetId="3">'Control Entry'!#REF!</definedName>
    <definedName name="Control_14" localSheetId="4">'Control Entry'!#REF!</definedName>
    <definedName name="Control_14" localSheetId="5">'Control Entry'!#REF!</definedName>
    <definedName name="Control_14">'Control Entry'!#REF!</definedName>
    <definedName name="Control_15" localSheetId="1">'Control Entry'!#REF!</definedName>
    <definedName name="Control_15" localSheetId="3">'Control Entry'!#REF!</definedName>
    <definedName name="Control_15" localSheetId="4">'Control Entry'!#REF!</definedName>
    <definedName name="Control_15" localSheetId="5">'Control Entry'!#REF!</definedName>
    <definedName name="Control_15">'Control Entry'!#REF!</definedName>
    <definedName name="Control_16" localSheetId="1">'Control Entry'!#REF!</definedName>
    <definedName name="Control_16" localSheetId="3">'Control Entry'!#REF!</definedName>
    <definedName name="Control_16" localSheetId="4">'Control Entry'!#REF!</definedName>
    <definedName name="Control_16" localSheetId="5">'Control Entry'!#REF!</definedName>
    <definedName name="Control_16">'Control Entry'!#REF!</definedName>
    <definedName name="Control_17" localSheetId="1">'Control Entry'!#REF!</definedName>
    <definedName name="Control_17" localSheetId="3">'Control Entry'!#REF!</definedName>
    <definedName name="Control_17" localSheetId="4">'Control Entry'!#REF!</definedName>
    <definedName name="Control_17" localSheetId="5">'Control Entry'!#REF!</definedName>
    <definedName name="Control_17">'Control Entry'!#REF!</definedName>
    <definedName name="Control_18" localSheetId="1">'Control Entry'!#REF!</definedName>
    <definedName name="Control_18" localSheetId="3">'Control Entry'!#REF!</definedName>
    <definedName name="Control_18" localSheetId="4">'Control Entry'!#REF!</definedName>
    <definedName name="Control_18" localSheetId="5">'Control Entry'!#REF!</definedName>
    <definedName name="Control_18">'Control Entry'!#REF!</definedName>
    <definedName name="Control_19" localSheetId="1">'Control Entry'!#REF!</definedName>
    <definedName name="Control_19" localSheetId="3">'Control Entry'!#REF!</definedName>
    <definedName name="Control_19" localSheetId="4">'Control Entry'!#REF!</definedName>
    <definedName name="Control_19" localSheetId="5">'Control Entry'!#REF!</definedName>
    <definedName name="Control_19">'Control Entry'!#REF!</definedName>
    <definedName name="Control_2">'Control Entry'!$D$16:$O$16</definedName>
    <definedName name="Control_20" localSheetId="1">'Control Entry'!#REF!</definedName>
    <definedName name="Control_20" localSheetId="3">'Control Entry'!#REF!</definedName>
    <definedName name="Control_20" localSheetId="4">'Control Entry'!#REF!</definedName>
    <definedName name="Control_20" localSheetId="5">'Control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1">#REF!</definedName>
    <definedName name="Country" localSheetId="3">#REF!</definedName>
    <definedName name="Country" localSheetId="4">#REF!</definedName>
    <definedName name="Country" localSheetId="5">#REF!</definedName>
    <definedName name="Country">#REF!</definedName>
    <definedName name="Distance">'Control Entry'!$D$15:$D$24</definedName>
    <definedName name="email" localSheetId="1">#REF!</definedName>
    <definedName name="email" localSheetId="3">#REF!</definedName>
    <definedName name="email" localSheetId="4">#REF!</definedName>
    <definedName name="email" localSheetId="5">#REF!</definedName>
    <definedName name="email">#REF!</definedName>
    <definedName name="Establishment_1">'Control Entry'!$F$15:$F$24</definedName>
    <definedName name="Establishment_2">'Control Entry'!$G$15:$G$24</definedName>
    <definedName name="Establishment_3">'Control Entry'!$H$15:$H$24</definedName>
    <definedName name="Fax" localSheetId="1">#REF!</definedName>
    <definedName name="Fax" localSheetId="3">#REF!</definedName>
    <definedName name="Fax" localSheetId="4">#REF!</definedName>
    <definedName name="Fax" localSheetId="5">#REF!</definedName>
    <definedName name="Fax">#REF!</definedName>
    <definedName name="First_Name" localSheetId="1">#REF!</definedName>
    <definedName name="First_Name" localSheetId="3">#REF!</definedName>
    <definedName name="First_Name" localSheetId="4">#REF!</definedName>
    <definedName name="First_Name" localSheetId="5">#REF!</definedName>
    <definedName name="First_Name">#REF!</definedName>
    <definedName name="Home_telephone" localSheetId="1">#REF!</definedName>
    <definedName name="Home_telephone" localSheetId="3">#REF!</definedName>
    <definedName name="Home_telephone" localSheetId="4">#REF!</definedName>
    <definedName name="Home_telephone" localSheetId="5">#REF!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1">#REF!</definedName>
    <definedName name="Initial" localSheetId="3">#REF!</definedName>
    <definedName name="Initial" localSheetId="4">#REF!</definedName>
    <definedName name="Initial" localSheetId="5">#REF!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1">#REF!</definedName>
    <definedName name="Postal_Code" localSheetId="3">#REF!</definedName>
    <definedName name="Postal_Code" localSheetId="4">#REF!</definedName>
    <definedName name="Postal_Code" localSheetId="5">#REF!</definedName>
    <definedName name="Postal_Code">#REF!</definedName>
    <definedName name="_xlnm.Print_Area" localSheetId="1">'Card #1'!$A$1:$K$55</definedName>
    <definedName name="_xlnm.Print_Titles" localSheetId="2">'Control Card #1'!$1:$2</definedName>
    <definedName name="_xlnm.Print_Titles" localSheetId="3">'Control Card #2'!$1:$2</definedName>
    <definedName name="_xlnm.Print_Titles" localSheetId="4">'Control Card #3'!$1:$2</definedName>
    <definedName name="_xlnm.Print_Titles" localSheetId="5">'Control Card #4'!$1:$2</definedName>
    <definedName name="Province_State" localSheetId="1">#REF!</definedName>
    <definedName name="Province_State" localSheetId="3">#REF!</definedName>
    <definedName name="Province_State" localSheetId="4">#REF!</definedName>
    <definedName name="Province_State" localSheetId="5">#REF!</definedName>
    <definedName name="Province_State">#REF!</definedName>
    <definedName name="Start_date">'Control Entry'!$B$12</definedName>
    <definedName name="Start_time">'Control Entry'!$B$13</definedName>
    <definedName name="surname" localSheetId="1">#REF!</definedName>
    <definedName name="surname" localSheetId="3">#REF!</definedName>
    <definedName name="surname" localSheetId="4">#REF!</definedName>
    <definedName name="surname" localSheetId="5">#REF!</definedName>
    <definedName name="surname">#REF!</definedName>
    <definedName name="Work_telephone" localSheetId="1">#REF!</definedName>
    <definedName name="Work_telephone" localSheetId="3">#REF!</definedName>
    <definedName name="Work_telephone" localSheetId="4">#REF!</definedName>
    <definedName name="Work_telephone" localSheetId="5">#REF!</definedName>
    <definedName name="Work_telephon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L7" i="1" l="1"/>
  <c r="E5" i="7" l="1"/>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F50" i="7"/>
  <c r="F49" i="7"/>
  <c r="E49" i="7"/>
  <c r="B49" i="7"/>
  <c r="F48" i="7"/>
  <c r="F47" i="7"/>
  <c r="F46" i="7"/>
  <c r="E46" i="7"/>
  <c r="B46" i="7"/>
  <c r="F45" i="7"/>
  <c r="F44" i="7"/>
  <c r="F43" i="7"/>
  <c r="E43" i="7"/>
  <c r="B43" i="7"/>
  <c r="F42" i="7"/>
  <c r="F41" i="7"/>
  <c r="F40" i="7"/>
  <c r="E40" i="7"/>
  <c r="B40" i="7"/>
  <c r="F39" i="7"/>
  <c r="F38" i="7"/>
  <c r="F37" i="7"/>
  <c r="E37" i="7"/>
  <c r="B37" i="7"/>
  <c r="F36" i="7"/>
  <c r="F35" i="7"/>
  <c r="F34" i="7"/>
  <c r="E34" i="7"/>
  <c r="B34" i="7"/>
  <c r="F33" i="7"/>
  <c r="F32" i="7"/>
  <c r="F31" i="7"/>
  <c r="E31" i="7"/>
  <c r="B31" i="7"/>
  <c r="F30" i="7"/>
  <c r="F29" i="7"/>
  <c r="F28" i="7"/>
  <c r="E28" i="7"/>
  <c r="B28" i="7"/>
  <c r="F27" i="7"/>
  <c r="F26" i="7"/>
  <c r="F25" i="7"/>
  <c r="E25" i="7"/>
  <c r="B25" i="7"/>
  <c r="F24" i="7"/>
  <c r="F23" i="7"/>
  <c r="F22" i="7"/>
  <c r="E22" i="7"/>
  <c r="B22" i="7"/>
  <c r="F21" i="7"/>
  <c r="J52" i="7" l="1"/>
  <c r="I12" i="7"/>
  <c r="F12" i="7"/>
  <c r="J2" i="7"/>
  <c r="C54" i="7"/>
  <c r="J3" i="7"/>
  <c r="S3" i="2"/>
  <c r="E4" i="7" l="1"/>
  <c r="M4" i="5" l="1"/>
  <c r="M4" i="4"/>
  <c r="M4" i="3"/>
  <c r="M4" i="2"/>
  <c r="F32" i="5" l="1"/>
  <c r="F31" i="5"/>
  <c r="F30" i="5"/>
  <c r="E32" i="5"/>
  <c r="E31" i="5"/>
  <c r="E30" i="5"/>
  <c r="D31" i="5"/>
  <c r="A31" i="5"/>
  <c r="F29" i="5"/>
  <c r="F28" i="5"/>
  <c r="F27" i="5"/>
  <c r="E29" i="5"/>
  <c r="E28" i="5"/>
  <c r="E27" i="5"/>
  <c r="D28" i="5"/>
  <c r="A28" i="5"/>
  <c r="F26" i="5"/>
  <c r="F25" i="5"/>
  <c r="F24" i="5"/>
  <c r="E26" i="5"/>
  <c r="E25" i="5"/>
  <c r="E24" i="5"/>
  <c r="D25" i="5"/>
  <c r="A25" i="5"/>
  <c r="F23" i="5"/>
  <c r="F22" i="5"/>
  <c r="F21" i="5"/>
  <c r="E23" i="5"/>
  <c r="E22" i="5"/>
  <c r="E21" i="5"/>
  <c r="D22" i="5"/>
  <c r="A22" i="5"/>
  <c r="F20" i="5"/>
  <c r="F19" i="5"/>
  <c r="F18" i="5"/>
  <c r="E20" i="5"/>
  <c r="E19" i="5"/>
  <c r="E18" i="5"/>
  <c r="D19" i="5"/>
  <c r="A19" i="5" l="1"/>
  <c r="F17" i="5"/>
  <c r="F16" i="5"/>
  <c r="F15" i="5"/>
  <c r="E17" i="5"/>
  <c r="E16" i="5"/>
  <c r="E15" i="5"/>
  <c r="D16" i="5"/>
  <c r="A16" i="5"/>
  <c r="F14" i="5"/>
  <c r="F13" i="5"/>
  <c r="F12" i="5"/>
  <c r="E14" i="5"/>
  <c r="E13" i="5"/>
  <c r="E12" i="5"/>
  <c r="D13" i="5"/>
  <c r="A13" i="5"/>
  <c r="F11" i="5"/>
  <c r="F10" i="5"/>
  <c r="F9" i="5"/>
  <c r="E11" i="5"/>
  <c r="E10" i="5"/>
  <c r="E9" i="5"/>
  <c r="D10" i="5"/>
  <c r="A10" i="5"/>
  <c r="F8" i="5"/>
  <c r="F7" i="5"/>
  <c r="F6" i="5"/>
  <c r="E8" i="5"/>
  <c r="E7" i="5"/>
  <c r="E6" i="5"/>
  <c r="D7" i="5"/>
  <c r="A7" i="5"/>
  <c r="F26" i="4"/>
  <c r="F25" i="4"/>
  <c r="F24" i="4"/>
  <c r="F19" i="4"/>
  <c r="F5" i="5"/>
  <c r="F4" i="5"/>
  <c r="F3" i="5"/>
  <c r="E5" i="4"/>
  <c r="E5" i="5"/>
  <c r="E4" i="5"/>
  <c r="E3" i="5"/>
  <c r="D4" i="5"/>
  <c r="A4" i="5"/>
  <c r="S3" i="5"/>
  <c r="S3" i="4"/>
  <c r="S3" i="3"/>
  <c r="Q33" i="5"/>
  <c r="Q32" i="5"/>
  <c r="S20" i="5"/>
  <c r="L20" i="5"/>
  <c r="L6" i="5"/>
  <c r="R5" i="5"/>
  <c r="P5" i="5"/>
  <c r="L63" i="1"/>
  <c r="L62" i="1"/>
  <c r="L61" i="1"/>
  <c r="L60" i="1"/>
  <c r="L59" i="1"/>
  <c r="L58" i="1"/>
  <c r="L57" i="1"/>
  <c r="L56" i="1"/>
  <c r="L55" i="1"/>
  <c r="M54" i="1"/>
  <c r="L54" i="1"/>
  <c r="Q33" i="4"/>
  <c r="Q32" i="4"/>
  <c r="Q33" i="3"/>
  <c r="Q32" i="3"/>
  <c r="Q33" i="2"/>
  <c r="Q32" i="2"/>
  <c r="M46" i="1" l="1"/>
  <c r="M47" i="1"/>
  <c r="M48" i="1"/>
  <c r="M49" i="1"/>
  <c r="M50" i="1"/>
  <c r="M41" i="1"/>
  <c r="M33" i="1"/>
  <c r="M34" i="1"/>
  <c r="M35" i="1"/>
  <c r="M36" i="1"/>
  <c r="M37" i="1"/>
  <c r="S20" i="4" l="1"/>
  <c r="L20" i="4"/>
  <c r="S20" i="3"/>
  <c r="L20" i="3"/>
  <c r="S20" i="2"/>
  <c r="L20" i="2"/>
  <c r="F32" i="4" l="1"/>
  <c r="F31" i="4"/>
  <c r="F30" i="4"/>
  <c r="E32" i="4"/>
  <c r="E31" i="4"/>
  <c r="E30" i="4"/>
  <c r="D31" i="4"/>
  <c r="A31" i="4"/>
  <c r="F29" i="4"/>
  <c r="F28" i="4"/>
  <c r="F27" i="4"/>
  <c r="E29" i="4"/>
  <c r="E28" i="4"/>
  <c r="E27" i="4"/>
  <c r="D28" i="4"/>
  <c r="A28" i="4"/>
  <c r="E26" i="4"/>
  <c r="E25" i="4"/>
  <c r="E24" i="4"/>
  <c r="D25" i="4"/>
  <c r="A25" i="4"/>
  <c r="F23" i="4"/>
  <c r="F22" i="4"/>
  <c r="F21" i="4"/>
  <c r="E23" i="4"/>
  <c r="E22" i="4"/>
  <c r="E21" i="4"/>
  <c r="D22" i="4"/>
  <c r="A22" i="4"/>
  <c r="F20" i="4"/>
  <c r="F18" i="4"/>
  <c r="E20" i="4"/>
  <c r="E19" i="4"/>
  <c r="E18" i="4"/>
  <c r="D19" i="4"/>
  <c r="A19" i="4"/>
  <c r="F17" i="4"/>
  <c r="F16" i="4"/>
  <c r="F15" i="4"/>
  <c r="E17" i="4"/>
  <c r="E16" i="4"/>
  <c r="E15" i="4"/>
  <c r="D16" i="4"/>
  <c r="A16" i="4"/>
  <c r="F13" i="4"/>
  <c r="F14" i="4"/>
  <c r="F12" i="4"/>
  <c r="E14" i="4"/>
  <c r="E13" i="4"/>
  <c r="E12" i="4"/>
  <c r="D13" i="4"/>
  <c r="A13" i="4"/>
  <c r="A7" i="2" l="1"/>
  <c r="F11" i="4"/>
  <c r="F10" i="4"/>
  <c r="F9" i="4"/>
  <c r="E11" i="4"/>
  <c r="E10" i="4"/>
  <c r="E9" i="4"/>
  <c r="D10" i="4"/>
  <c r="A10" i="4"/>
  <c r="F8" i="4"/>
  <c r="F7" i="4"/>
  <c r="F6" i="4"/>
  <c r="E8" i="4"/>
  <c r="E7" i="4"/>
  <c r="E6" i="4"/>
  <c r="D7" i="4"/>
  <c r="A7" i="4"/>
  <c r="F5" i="4"/>
  <c r="F4" i="4"/>
  <c r="F3" i="4"/>
  <c r="E4" i="4"/>
  <c r="E3" i="4"/>
  <c r="D4" i="4"/>
  <c r="A4" i="4"/>
  <c r="L50" i="1" l="1"/>
  <c r="L49" i="1"/>
  <c r="L48" i="1"/>
  <c r="L47" i="1"/>
  <c r="L46" i="1"/>
  <c r="L45" i="1"/>
  <c r="L44" i="1"/>
  <c r="L43" i="1"/>
  <c r="L42" i="1"/>
  <c r="L41" i="1"/>
  <c r="L6" i="4"/>
  <c r="R5" i="4"/>
  <c r="P5" i="4"/>
  <c r="E8" i="3" l="1"/>
  <c r="E7" i="3"/>
  <c r="E5" i="3"/>
  <c r="F5" i="2" l="1"/>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5" i="1"/>
  <c r="N15" i="1" s="1"/>
  <c r="L37" i="1"/>
  <c r="L36" i="1"/>
  <c r="L35" i="1"/>
  <c r="L34" i="1"/>
  <c r="L33" i="1"/>
  <c r="L32" i="1"/>
  <c r="L31" i="1"/>
  <c r="L30" i="1"/>
  <c r="L29" i="1"/>
  <c r="L28"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6" i="1"/>
  <c r="E4" i="3"/>
  <c r="E3" i="3"/>
  <c r="D31" i="3"/>
  <c r="D28" i="3"/>
  <c r="D25" i="3"/>
  <c r="D22" i="3"/>
  <c r="D19" i="3"/>
  <c r="D16" i="3"/>
  <c r="D13" i="3"/>
  <c r="D10" i="3"/>
  <c r="D7" i="3"/>
  <c r="D4" i="3"/>
  <c r="A31" i="3"/>
  <c r="A28" i="3"/>
  <c r="A25" i="3"/>
  <c r="A22" i="3"/>
  <c r="A19" i="3"/>
  <c r="A16" i="3"/>
  <c r="A13" i="3"/>
  <c r="A10" i="3"/>
  <c r="A7" i="3"/>
  <c r="A4" i="3"/>
  <c r="L24" i="1"/>
  <c r="L23" i="1"/>
  <c r="L22" i="1"/>
  <c r="L21" i="1"/>
  <c r="L20" i="1"/>
  <c r="L19" i="1"/>
  <c r="L18" i="1"/>
  <c r="L17" i="1"/>
  <c r="L16" i="1"/>
  <c r="L6" i="3"/>
  <c r="R5" i="3"/>
  <c r="P5" i="3"/>
  <c r="L6" i="2"/>
  <c r="R5" i="2"/>
  <c r="P5"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M16" i="1" l="1"/>
  <c r="C22" i="7"/>
  <c r="C23" i="7"/>
  <c r="C21" i="7"/>
  <c r="B7" i="1"/>
  <c r="M21" i="1" s="1"/>
  <c r="O21" i="1" s="1"/>
  <c r="O50" i="1"/>
  <c r="N50" i="1"/>
  <c r="N61" i="1"/>
  <c r="N60" i="1"/>
  <c r="N59" i="1"/>
  <c r="N63" i="1"/>
  <c r="N58" i="1"/>
  <c r="N62" i="1"/>
  <c r="M63" i="1"/>
  <c r="O63" i="1" s="1"/>
  <c r="M61" i="1"/>
  <c r="O61" i="1" s="1"/>
  <c r="M59" i="1"/>
  <c r="O59" i="1" s="1"/>
  <c r="M62" i="1"/>
  <c r="O62" i="1" s="1"/>
  <c r="M60" i="1"/>
  <c r="O60" i="1" s="1"/>
  <c r="M58" i="1"/>
  <c r="O58" i="1" s="1"/>
  <c r="M28" i="1"/>
  <c r="O28" i="1" s="1"/>
  <c r="M57" i="1"/>
  <c r="O57" i="1" s="1"/>
  <c r="M55" i="1"/>
  <c r="O55" i="1" s="1"/>
  <c r="M56" i="1"/>
  <c r="O56" i="1"/>
  <c r="N56" i="1"/>
  <c r="N57" i="1"/>
  <c r="N55" i="1"/>
  <c r="O54" i="1"/>
  <c r="N54" i="1"/>
  <c r="M42" i="1"/>
  <c r="M31" i="1"/>
  <c r="O16" i="1"/>
  <c r="M43" i="1"/>
  <c r="O43" i="1" s="1"/>
  <c r="M32" i="1"/>
  <c r="M19" i="1"/>
  <c r="O19" i="1" s="1"/>
  <c r="M44" i="1"/>
  <c r="O44" i="1" s="1"/>
  <c r="M29" i="1"/>
  <c r="M18" i="1"/>
  <c r="O18" i="1" s="1"/>
  <c r="M45" i="1"/>
  <c r="M30" i="1"/>
  <c r="M17" i="1"/>
  <c r="O17" i="1" s="1"/>
  <c r="O46" i="1"/>
  <c r="O45" i="1"/>
  <c r="O47" i="1"/>
  <c r="O48" i="1"/>
  <c r="O49" i="1"/>
  <c r="N48" i="1"/>
  <c r="N42" i="1"/>
  <c r="N47" i="1"/>
  <c r="N43" i="1"/>
  <c r="N45" i="1"/>
  <c r="N49" i="1"/>
  <c r="N46" i="1"/>
  <c r="N44" i="1"/>
  <c r="O42" i="1"/>
  <c r="N41" i="1"/>
  <c r="O41" i="1"/>
  <c r="M15" i="1"/>
  <c r="O15" i="1" s="1"/>
  <c r="N31" i="1"/>
  <c r="B4" i="2"/>
  <c r="N18" i="1"/>
  <c r="N28" i="1"/>
  <c r="N34" i="1"/>
  <c r="N22" i="1"/>
  <c r="O34" i="1"/>
  <c r="B3" i="2"/>
  <c r="O33" i="1"/>
  <c r="B5" i="2"/>
  <c r="N17" i="1"/>
  <c r="N21" i="1"/>
  <c r="N24" i="1"/>
  <c r="N35" i="1"/>
  <c r="O37" i="1"/>
  <c r="N37" i="1"/>
  <c r="N16" i="1"/>
  <c r="N20" i="1"/>
  <c r="N29" i="1"/>
  <c r="N32" i="1"/>
  <c r="N19" i="1"/>
  <c r="N23" i="1"/>
  <c r="N30" i="1"/>
  <c r="N33" i="1"/>
  <c r="N36" i="1"/>
  <c r="O30" i="1"/>
  <c r="O29" i="1"/>
  <c r="O36" i="1"/>
  <c r="O32" i="1"/>
  <c r="O35" i="1"/>
  <c r="O31" i="1"/>
  <c r="M24" i="1" l="1"/>
  <c r="O24" i="1" s="1"/>
  <c r="D50" i="7" s="1"/>
  <c r="M23" i="1"/>
  <c r="O23" i="1" s="1"/>
  <c r="D47" i="7" s="1"/>
  <c r="M20" i="1"/>
  <c r="O20" i="1" s="1"/>
  <c r="D37" i="7" s="1"/>
  <c r="M22" i="1"/>
  <c r="O22" i="1" s="1"/>
  <c r="D44" i="7" s="1"/>
  <c r="D29" i="7"/>
  <c r="D28" i="7"/>
  <c r="D27" i="7"/>
  <c r="B6" i="2"/>
  <c r="C26" i="7"/>
  <c r="C25" i="7"/>
  <c r="C24" i="7"/>
  <c r="D26" i="7"/>
  <c r="D24" i="7"/>
  <c r="D25" i="7"/>
  <c r="B27" i="2"/>
  <c r="C47" i="7"/>
  <c r="C45" i="7"/>
  <c r="C46" i="7"/>
  <c r="C23" i="2"/>
  <c r="D41" i="7"/>
  <c r="D40" i="7"/>
  <c r="D39" i="7"/>
  <c r="B22" i="2"/>
  <c r="C39" i="7"/>
  <c r="C41" i="7"/>
  <c r="C40" i="7"/>
  <c r="B25" i="2"/>
  <c r="C43" i="7"/>
  <c r="C42" i="7"/>
  <c r="C44" i="7"/>
  <c r="B14" i="2"/>
  <c r="C31" i="7"/>
  <c r="C32" i="7"/>
  <c r="C30" i="7"/>
  <c r="C3" i="2"/>
  <c r="D23" i="7"/>
  <c r="D21" i="7"/>
  <c r="D22" i="7"/>
  <c r="B31" i="2"/>
  <c r="C50" i="7"/>
  <c r="C49" i="7"/>
  <c r="C48" i="7"/>
  <c r="B17" i="2"/>
  <c r="C35" i="7"/>
  <c r="C33" i="7"/>
  <c r="C34" i="7"/>
  <c r="B19" i="2"/>
  <c r="C38" i="7"/>
  <c r="C37" i="7"/>
  <c r="C36" i="7"/>
  <c r="B11" i="2"/>
  <c r="C29" i="7"/>
  <c r="C27" i="7"/>
  <c r="C28" i="7"/>
  <c r="C17" i="2"/>
  <c r="D35" i="7"/>
  <c r="D33" i="7"/>
  <c r="D34" i="7"/>
  <c r="D31" i="7"/>
  <c r="D32" i="7"/>
  <c r="D30" i="7"/>
  <c r="C27" i="5"/>
  <c r="C29" i="5"/>
  <c r="C28" i="5"/>
  <c r="B29" i="5"/>
  <c r="B28" i="5"/>
  <c r="B27" i="5"/>
  <c r="B22" i="5"/>
  <c r="B21" i="5"/>
  <c r="B23" i="5"/>
  <c r="C20" i="5"/>
  <c r="C19" i="5"/>
  <c r="C18" i="5"/>
  <c r="B25" i="5"/>
  <c r="B24" i="5"/>
  <c r="B26" i="5"/>
  <c r="C26" i="5"/>
  <c r="C25" i="5"/>
  <c r="C24" i="5"/>
  <c r="C21" i="5"/>
  <c r="C23" i="5"/>
  <c r="C22" i="5"/>
  <c r="C31" i="5"/>
  <c r="C30" i="5"/>
  <c r="C32" i="5"/>
  <c r="B19" i="5"/>
  <c r="B18" i="5"/>
  <c r="B20" i="5"/>
  <c r="B32" i="5"/>
  <c r="B31" i="5"/>
  <c r="B30" i="5"/>
  <c r="B8" i="5"/>
  <c r="B7" i="5"/>
  <c r="B6" i="5"/>
  <c r="B14" i="5"/>
  <c r="B13" i="5"/>
  <c r="B12" i="5"/>
  <c r="C7" i="5"/>
  <c r="C8" i="5"/>
  <c r="C6" i="5"/>
  <c r="B15" i="5"/>
  <c r="B17" i="5"/>
  <c r="B16" i="5"/>
  <c r="B9" i="5"/>
  <c r="B10" i="5"/>
  <c r="B11" i="5"/>
  <c r="C13" i="5"/>
  <c r="C12" i="5"/>
  <c r="C14" i="5"/>
  <c r="C16" i="5"/>
  <c r="C15" i="5"/>
  <c r="C17" i="5"/>
  <c r="C10" i="5"/>
  <c r="C9" i="5"/>
  <c r="C11" i="5"/>
  <c r="B4" i="5"/>
  <c r="B3" i="5"/>
  <c r="B5" i="5"/>
  <c r="B31" i="4"/>
  <c r="B30" i="4"/>
  <c r="B32" i="4"/>
  <c r="C5" i="5"/>
  <c r="C3" i="5"/>
  <c r="C4" i="5"/>
  <c r="C31" i="4"/>
  <c r="C30" i="4"/>
  <c r="C32" i="4"/>
  <c r="B13" i="4"/>
  <c r="B12" i="4"/>
  <c r="B14" i="4"/>
  <c r="B29" i="4"/>
  <c r="B28" i="4"/>
  <c r="B27" i="4"/>
  <c r="C15" i="4"/>
  <c r="C17" i="4"/>
  <c r="C16" i="4"/>
  <c r="B23" i="4"/>
  <c r="B22" i="4"/>
  <c r="B21" i="4"/>
  <c r="B17" i="4"/>
  <c r="B16" i="4"/>
  <c r="B15" i="4"/>
  <c r="B25" i="4"/>
  <c r="B24" i="4"/>
  <c r="B26" i="4"/>
  <c r="C29" i="4"/>
  <c r="C28" i="4"/>
  <c r="C27" i="4"/>
  <c r="C21" i="4"/>
  <c r="C23" i="4"/>
  <c r="C22" i="4"/>
  <c r="C4" i="2"/>
  <c r="C14" i="4"/>
  <c r="C13" i="4"/>
  <c r="C12" i="4"/>
  <c r="B19" i="4"/>
  <c r="B18" i="4"/>
  <c r="B20" i="4"/>
  <c r="C20" i="4"/>
  <c r="C19" i="4"/>
  <c r="C18" i="4"/>
  <c r="C26" i="4"/>
  <c r="C25" i="4"/>
  <c r="C24" i="4"/>
  <c r="C8" i="4"/>
  <c r="C7" i="4"/>
  <c r="C6" i="4"/>
  <c r="C10" i="4"/>
  <c r="C9" i="4"/>
  <c r="C11" i="4"/>
  <c r="B8" i="4"/>
  <c r="B7" i="4"/>
  <c r="B6" i="4"/>
  <c r="B9" i="4"/>
  <c r="B11" i="4"/>
  <c r="B10" i="4"/>
  <c r="B5" i="4"/>
  <c r="B4" i="4"/>
  <c r="B3" i="4"/>
  <c r="C3" i="4"/>
  <c r="C5" i="4"/>
  <c r="C4" i="4"/>
  <c r="C19" i="3"/>
  <c r="B21" i="3"/>
  <c r="B29" i="3"/>
  <c r="B6" i="3"/>
  <c r="B26" i="3"/>
  <c r="B5" i="3"/>
  <c r="B11" i="3"/>
  <c r="C23" i="3"/>
  <c r="B32" i="3"/>
  <c r="B16" i="3"/>
  <c r="C31" i="3"/>
  <c r="C5" i="2"/>
  <c r="B19" i="3"/>
  <c r="B14" i="3"/>
  <c r="B25" i="3"/>
  <c r="C16" i="2"/>
  <c r="B13" i="3"/>
  <c r="B12" i="3"/>
  <c r="B21" i="2"/>
  <c r="B26" i="2"/>
  <c r="C15" i="2"/>
  <c r="C30" i="3"/>
  <c r="B3" i="3"/>
  <c r="B8" i="2"/>
  <c r="B12" i="2"/>
  <c r="B13" i="2"/>
  <c r="B22" i="3"/>
  <c r="B30" i="3"/>
  <c r="B27" i="3"/>
  <c r="B8" i="3"/>
  <c r="B18" i="3"/>
  <c r="B29" i="2"/>
  <c r="B15" i="2"/>
  <c r="B31" i="3"/>
  <c r="B18" i="2"/>
  <c r="B10" i="3"/>
  <c r="B32" i="2"/>
  <c r="C30" i="2"/>
  <c r="B20" i="2"/>
  <c r="C22" i="3"/>
  <c r="B24" i="3"/>
  <c r="B28" i="3"/>
  <c r="B7" i="3"/>
  <c r="B4" i="3"/>
  <c r="B16" i="2"/>
  <c r="B7" i="2"/>
  <c r="C13" i="2"/>
  <c r="C12" i="2"/>
  <c r="C14" i="2"/>
  <c r="B23" i="3"/>
  <c r="B9" i="2"/>
  <c r="B30" i="2"/>
  <c r="C32" i="2"/>
  <c r="B10" i="2"/>
  <c r="B9" i="3"/>
  <c r="B24" i="2"/>
  <c r="C21" i="3"/>
  <c r="C18" i="3"/>
  <c r="B20" i="3"/>
  <c r="C9" i="2"/>
  <c r="C10" i="2"/>
  <c r="B28" i="2"/>
  <c r="B23" i="2"/>
  <c r="B17" i="3"/>
  <c r="C8" i="2"/>
  <c r="C7" i="2"/>
  <c r="C22" i="2"/>
  <c r="C21" i="2"/>
  <c r="C11" i="2"/>
  <c r="C20" i="3"/>
  <c r="B15" i="3"/>
  <c r="C32" i="3"/>
  <c r="C6" i="2"/>
  <c r="C6" i="3"/>
  <c r="C7" i="3"/>
  <c r="C8" i="3"/>
  <c r="C11" i="3"/>
  <c r="C9" i="3"/>
  <c r="C10" i="3"/>
  <c r="C13" i="3"/>
  <c r="C14" i="3"/>
  <c r="C12" i="3"/>
  <c r="C4" i="3"/>
  <c r="C5" i="3"/>
  <c r="C3" i="3"/>
  <c r="C25" i="3"/>
  <c r="C26" i="3"/>
  <c r="C24" i="3"/>
  <c r="C15" i="3"/>
  <c r="C16" i="3"/>
  <c r="C17" i="3"/>
  <c r="C27" i="3"/>
  <c r="C28" i="3"/>
  <c r="C29" i="3"/>
  <c r="C18" i="2" l="1"/>
  <c r="D48" i="7"/>
  <c r="D49" i="7"/>
  <c r="D38" i="7"/>
  <c r="C19" i="2"/>
  <c r="D36" i="7"/>
  <c r="C31" i="2"/>
  <c r="C20" i="2"/>
  <c r="D42" i="7"/>
  <c r="C25" i="2"/>
  <c r="D46" i="7"/>
  <c r="C27" i="2"/>
  <c r="C28" i="2"/>
  <c r="C29" i="2"/>
  <c r="D45" i="7"/>
  <c r="D43" i="7"/>
  <c r="C26" i="2"/>
  <c r="C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1200, 1000, 600, 400, 300, 200, 150, 100, 50, 25
</t>
        </r>
      </text>
    </comment>
    <comment ref="B7" authorId="1" shapeId="0" xr:uid="{00000000-0006-0000-0000-000002000000}">
      <text>
        <r>
          <rPr>
            <sz val="8"/>
            <color rgb="FF000000"/>
            <rFont val="Tahoma"/>
            <family val="2"/>
          </rPr>
          <t>Autocalculated based on ACP specified times</t>
        </r>
      </text>
    </comment>
    <comment ref="B8" authorId="0" shapeId="0" xr:uid="{3C1C451D-6AE0-F242-A53A-80693F934BEF}">
      <text>
        <r>
          <rPr>
            <b/>
            <sz val="10"/>
            <color rgb="FF000000"/>
            <rFont val="Tahoma"/>
            <family val="2"/>
          </rPr>
          <t>Stephen Hinde:</t>
        </r>
        <r>
          <rPr>
            <sz val="10"/>
            <color rgb="FF000000"/>
            <rFont val="Tahoma"/>
            <family val="2"/>
          </rPr>
          <t xml:space="preserve">
</t>
        </r>
        <r>
          <rPr>
            <sz val="10"/>
            <color rgb="FF000000"/>
            <rFont val="Tahoma"/>
            <family val="2"/>
          </rPr>
          <t xml:space="preserve">Name of event
</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F10" authorId="0" shapeId="0" xr:uid="{C2700BB7-AC40-4846-9773-3956CB914942}">
      <text>
        <r>
          <rPr>
            <b/>
            <sz val="10"/>
            <color rgb="FF000000"/>
            <rFont val="Tahoma"/>
            <family val="2"/>
          </rPr>
          <t>Stephen Hinde:</t>
        </r>
        <r>
          <rPr>
            <sz val="10"/>
            <color rgb="FF000000"/>
            <rFont val="Tahoma"/>
            <family val="2"/>
          </rPr>
          <t xml:space="preserve">
</t>
        </r>
        <r>
          <rPr>
            <sz val="10"/>
            <color rgb="FF000000"/>
            <rFont val="Tahoma"/>
            <family val="2"/>
          </rPr>
          <t xml:space="preserve">Optional.  </t>
        </r>
      </text>
    </comment>
    <comment ref="B12" authorId="0" shapeId="0" xr:uid="{23558CA1-4512-6144-8D64-23E7C0C33489}">
      <text>
        <r>
          <rPr>
            <b/>
            <sz val="10"/>
            <color rgb="FF000000"/>
            <rFont val="Tahoma"/>
            <family val="2"/>
          </rPr>
          <t>Stephen Hinde:</t>
        </r>
        <r>
          <rPr>
            <sz val="10"/>
            <color rgb="FF000000"/>
            <rFont val="Tahoma"/>
            <family val="2"/>
          </rPr>
          <t xml:space="preserve">
</t>
        </r>
        <r>
          <rPr>
            <sz val="10"/>
            <color rgb="FF000000"/>
            <rFont val="Tahoma"/>
            <family val="2"/>
          </rPr>
          <t xml:space="preserve">Ride date
</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 ref="F14" authorId="0" shapeId="0" xr:uid="{E6B5DB4F-63CC-9A4E-B02A-4C28633B0FBD}">
      <text>
        <r>
          <rPr>
            <b/>
            <sz val="10"/>
            <color rgb="FF000000"/>
            <rFont val="Tahoma"/>
            <family val="2"/>
          </rPr>
          <t>Stephen Hinde:</t>
        </r>
        <r>
          <rPr>
            <sz val="10"/>
            <color rgb="FF000000"/>
            <rFont val="Tahoma"/>
            <family val="2"/>
          </rPr>
          <t xml:space="preserve">
</t>
        </r>
        <r>
          <rPr>
            <sz val="10"/>
            <color rgb="FF000000"/>
            <rFont val="Tahoma"/>
            <family val="2"/>
          </rPr>
          <t xml:space="preserve">It is recommended to put the type of control in this space ie 
</t>
        </r>
        <r>
          <rPr>
            <sz val="10"/>
            <color rgb="FF000000"/>
            <rFont val="Tahoma"/>
            <family val="2"/>
          </rPr>
          <t xml:space="preserve">STAFFED
</t>
        </r>
        <r>
          <rPr>
            <sz val="10"/>
            <color rgb="FF000000"/>
            <rFont val="Tahoma"/>
            <family val="2"/>
          </rPr>
          <t xml:space="preserve">BUSINESS INFORMATION
</t>
        </r>
        <r>
          <rPr>
            <sz val="10"/>
            <color rgb="FF000000"/>
            <rFont val="Tahoma"/>
            <family val="2"/>
          </rPr>
          <t>SELF CHECK</t>
        </r>
      </text>
    </comment>
  </commentList>
</comments>
</file>

<file path=xl/sharedStrings.xml><?xml version="1.0" encoding="utf-8"?>
<sst xmlns="http://schemas.openxmlformats.org/spreadsheetml/2006/main" count="454" uniqueCount="143">
  <si>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</si>
  <si>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</si>
  <si>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</si>
  <si>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</si>
  <si>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</si>
  <si>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</si>
  <si>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</si>
  <si>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</si>
  <si>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</si>
  <si>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</si>
  <si>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</si>
  <si>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</si>
  <si>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</si>
  <si>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</si>
  <si>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</si>
  <si>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</si>
  <si>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</si>
  <si>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</si>
  <si>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</si>
  <si>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</si>
  <si>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</si>
  <si>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</si>
  <si>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</si>
  <si>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</si>
  <si>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</si>
  <si>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</si>
  <si>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</si>
  <si>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</si>
  <si>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</si>
  <si>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</si>
  <si>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</si>
  <si>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</si>
  <si>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</si>
  <si>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</si>
  <si>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</si>
  <si>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</si>
  <si>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</si>
  <si>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</si>
  <si>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</si>
  <si>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</si>
  <si>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</si>
  <si>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</si>
  <si>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</si>
  <si>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</si>
  <si>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</si>
  <si>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</si>
  <si>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</si>
  <si>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</si>
  <si>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</si>
  <si>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</si>
  <si>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</si>
  <si>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</si>
  <si>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</si>
  <si>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</si>
  <si>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</si>
  <si>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</si>
  <si>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</si>
  <si>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</si>
  <si>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</si>
  <si>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</si>
  <si>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</si>
  <si>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</si>
  <si>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</si>
  <si>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</si>
  <si>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</si>
  <si>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</si>
  <si>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</si>
  <si>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</si>
  <si>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</si>
  <si>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When using information controls, you can put your question in the Signature/Answer section eg Sig/Ans.1 Sign on main door  Sig/Ans. 2  This week's special is?  Sig/Ans. 3 ________________</t>
  </si>
  <si>
    <t>Control Card #1 Information Control Question (optional)</t>
  </si>
  <si>
    <t>Control Card #2 Information Control Question (optional)</t>
  </si>
  <si>
    <t xml:space="preserve">Control Card </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</si>
  <si>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</si>
  <si>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Enter the start time.  This will be the official ACP listed start time found on the event page, unless a ride window has been enabled.</t>
  </si>
  <si>
    <t>Enter the start date.  This will be the same as the schedule date, exceot for pre-rides or unless a ride window has been enabled.</t>
  </si>
  <si>
    <t>Control Card #2</t>
  </si>
  <si>
    <t>Control Card #3 Information Control Question (optional)</t>
  </si>
  <si>
    <t>Control Card #3</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</si>
  <si>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</si>
  <si>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</si>
  <si>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</si>
  <si>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Scroll right to see further instructions</t>
  </si>
  <si>
    <t xml:space="preserve">Card Revised:  </t>
  </si>
  <si>
    <t>Control Card #4</t>
  </si>
  <si>
    <t>Control Card #4 Information Control Question (optional)</t>
  </si>
  <si>
    <t>You can create 4 control cards  (upto 40 controls) for one event, or 4 control cards (up to 10 controls) with different start loctions for a single event, or 2 sets of 2 control cards.  Control Card #1 will only show '#1' if a distance, not zero, is entered into the first distance box for Control Card #2.  Similarly for Control Card #3 and Control Card #4.  If CC#3 starts at distance 0 and CC#4 has a distance greater than 0, then CC#3 will display as CC#1 and CC#4 will display as CC#2.  This allows for 2 cards for start location 1 and two cards for start location 2.</t>
  </si>
  <si>
    <t>SIGN HERE AND RECORD RESULTS ON CARD #1</t>
  </si>
  <si>
    <t>DO NOT MOVE OR DELETE ROWS OR COLUMNS (delete contents of cells only)</t>
  </si>
  <si>
    <t xml:space="preserve">Organizer: </t>
  </si>
  <si>
    <t>Single     Tandem     Fixed     Recumbent     Velomobile</t>
  </si>
  <si>
    <t>Card revised:</t>
  </si>
  <si>
    <t>Template revised:</t>
  </si>
  <si>
    <t>Brevet #</t>
  </si>
  <si>
    <t>Rider:</t>
  </si>
  <si>
    <t>Finish Date:</t>
  </si>
  <si>
    <t>Start time:</t>
  </si>
  <si>
    <t>Finish time:</t>
  </si>
  <si>
    <t>Elapsed time:</t>
  </si>
  <si>
    <t>Organizer phone #</t>
  </si>
  <si>
    <t>Organizer phone number is optional</t>
  </si>
  <si>
    <t>Fill in the Locale (city) for each control.  Establishment 1, 2, and 3 can be used to describe the control itself eg Locale HOPE  Est.1  BUSINESS Est.2 Dairy Queen Est.3 817 Water Ave .  For a secret control, use SECRET as the locale.</t>
  </si>
  <si>
    <t>Fill in the control distance.  The opening and closing times will be automatically calculated based on the start time and the brevet distance.  If you need more than 10 controls, or need an alternate start loction, use card #2, otherwise leave that section blank. (Similarly for cards #3 and #4.)</t>
  </si>
  <si>
    <t>2023 AGM -- Old Rails and Trails</t>
  </si>
  <si>
    <t>SIDNEY</t>
  </si>
  <si>
    <t>STAFFED</t>
  </si>
  <si>
    <t>Tim Hortons</t>
  </si>
  <si>
    <t>VIEW ROYAL</t>
  </si>
  <si>
    <t>INFORMATION</t>
  </si>
  <si>
    <t>E&amp;N Trail at Galloping Goose Trail</t>
  </si>
  <si>
    <t>Beneath highway 1 overpass</t>
  </si>
  <si>
    <t>SAANICH</t>
  </si>
  <si>
    <t>OAK BAY</t>
  </si>
  <si>
    <t>Anderson Hill Park</t>
  </si>
  <si>
    <t>572 Island Rd</t>
  </si>
  <si>
    <t>1457 Harvest Ln</t>
  </si>
  <si>
    <t>VICTORIA</t>
  </si>
  <si>
    <t>HMCS Malahat</t>
  </si>
  <si>
    <t>20 Huron St</t>
  </si>
  <si>
    <t>‭(250) 213-3724‬</t>
  </si>
  <si>
    <t>SOOKE</t>
  </si>
  <si>
    <t>Sooke River Rd parking lot</t>
  </si>
  <si>
    <t>Galloping Goose Trai</t>
  </si>
  <si>
    <t>LANGFORD</t>
  </si>
  <si>
    <t>Goldstream Ave U-turn loop</t>
  </si>
  <si>
    <t>NORTH SAANICH</t>
  </si>
  <si>
    <t>Lost Airmen of the Empire Park</t>
  </si>
  <si>
    <t>The Flight Path, Mills Rd</t>
  </si>
  <si>
    <t>BUSINESS</t>
  </si>
  <si>
    <t xml:space="preserve">2343 Beacon Ave </t>
  </si>
  <si>
    <t xml:space="preserve">Harvest Lane Park </t>
  </si>
  <si>
    <t>COLWOOD</t>
  </si>
  <si>
    <t>321 Wale Rd</t>
  </si>
  <si>
    <t>Peninsula Coop</t>
  </si>
  <si>
    <t>How many signs on left post?</t>
  </si>
  <si>
    <t>Entry arch to park,</t>
  </si>
  <si>
    <t xml:space="preserve">1      2      3      4 </t>
  </si>
  <si>
    <t>Large vertical sign on corner of building</t>
  </si>
  <si>
    <t>First word</t>
  </si>
  <si>
    <t>________sideatthe lake.com</t>
  </si>
  <si>
    <t>Concrete posts beside path</t>
  </si>
  <si>
    <t>Right post plaque</t>
  </si>
  <si>
    <t>Patricia Bay 1939 -    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</si>
</sst>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d/mmm/yy\ hh:mm\ AM/PM"/>
    <numFmt numFmtId="165" formatCode="d/mmm/yy"/>
    <numFmt numFmtId="166" formatCode="dddd"/>
    <numFmt numFmtId="167" formatCode="0.0"/>
    <numFmt numFmtId="168" formatCode="mmmm\ d\,\ yyyy"/>
    <numFmt numFmtId="169" formatCode="[&lt;=9999999]###\-####;\(###\)\ ###\-####"/>
    <numFmt numFmtId="170" formatCode="[&lt;=9999999]###\-####;###\-###\-####"/>
  </numFmts>
  <fonts count="40"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20"/>
      <color theme="0" tint="-0.249977111117893"/>
      <name val="Impact"/>
      <family val="2"/>
    </font>
    <font>
      <sz val="16"/>
      <color rgb="FFFF0000"/>
      <name val="Arial"/>
      <family val="2"/>
    </font>
    <font>
      <sz val="9"/>
      <name val="Arial"/>
      <family val="2"/>
    </font>
    <font>
      <sz val="11"/>
      <name val="Arial Narrow"/>
      <family val="2"/>
    </font>
    <font>
      <sz val="22"/>
      <name val="Arial"/>
      <family val="2"/>
    </font>
    <font>
      <b/>
      <sz val="18"/>
      <name val="Arial"/>
      <family val="2"/>
    </font>
    <font>
      <sz val="14"/>
      <color rgb="FFFF0000"/>
      <name val="Arial"/>
      <family val="2"/>
    </font>
    <font>
      <sz val="11"/>
      <name val="Arial"/>
      <family val="2"/>
    </font>
    <font>
      <sz val="11"/>
      <color rgb="FFFF0000"/>
      <name val="Arial"/>
      <family val="2"/>
    </font>
    <font>
      <b/>
      <sz val="22"/>
      <name val="Arial"/>
      <family val="2"/>
    </font>
    <font>
      <sz val="20"/>
      <name val="Arial Narrow"/>
      <family val="2"/>
    </font>
    <font>
      <b/>
      <sz val="20"/>
      <name val="Arial Narrow"/>
      <family val="2"/>
    </font>
  </fonts>
  <fills count="3">
    <fill>
      <patternFill patternType="none"/>
    </fill>
    <fill>
      <patternFill patternType="gray125"/>
    </fill>
    <fill>
      <patternFill patternType="solid">
        <fgColor indexed="22"/>
        <bgColor indexed="64"/>
      </patternFill>
    </fill>
  </fills>
  <borders count="33">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top/>
      <bottom style="double">
        <color indexed="64"/>
      </bottom>
      <diagonal/>
    </border>
    <border>
      <left style="medium">
        <color auto="1"/>
      </left>
      <right/>
      <top/>
      <bottom style="thin">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237">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0" borderId="0" xfId="0" applyAlignment="1">
      <alignment vertical="top" textRotation="90"/>
    </xf>
    <xf numFmtId="0" fontId="10" fillId="0" borderId="0" xfId="0" applyFont="1"/>
    <xf numFmtId="0" fontId="0" fillId="0" borderId="19" xfId="0" applyBorder="1"/>
    <xf numFmtId="0" fontId="0" fillId="0" borderId="6" xfId="0" applyBorder="1"/>
    <xf numFmtId="0" fontId="10" fillId="0" borderId="0" xfId="0" applyFont="1" applyProtection="1"/>
    <xf numFmtId="0" fontId="0" fillId="0" borderId="0" xfId="0"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168" fontId="10" fillId="0" borderId="0" xfId="0" applyNumberFormat="1" applyFont="1" applyBorder="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4" xfId="0" applyNumberFormat="1" applyBorder="1" applyProtection="1">
      <protection locked="0"/>
    </xf>
    <xf numFmtId="0" fontId="14" fillId="0" borderId="16" xfId="0" applyFont="1" applyBorder="1" applyAlignment="1">
      <alignment horizontal="center" vertical="top" wrapText="1"/>
    </xf>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18" fontId="23" fillId="0" borderId="0" xfId="0" applyNumberFormat="1" applyFont="1" applyBorder="1" applyAlignment="1">
      <alignment horizontal="center" wrapText="1"/>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27" fillId="2" borderId="12" xfId="0" applyFont="1" applyFill="1" applyBorder="1"/>
    <xf numFmtId="0" fontId="27"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1" fontId="13" fillId="0" borderId="4" xfId="0" applyNumberFormat="1" applyFont="1" applyBorder="1" applyProtection="1">
      <protection locked="0"/>
    </xf>
    <xf numFmtId="15" fontId="13" fillId="0" borderId="4" xfId="0" applyNumberFormat="1" applyFont="1" applyBorder="1" applyProtection="1">
      <protection locked="0"/>
    </xf>
    <xf numFmtId="20" fontId="13" fillId="0" borderId="8" xfId="0" applyNumberFormat="1" applyFont="1" applyBorder="1" applyProtection="1">
      <protection locked="0"/>
    </xf>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5" xfId="0" applyFont="1" applyBorder="1" applyProtection="1">
      <protection locked="0"/>
    </xf>
    <xf numFmtId="49" fontId="5" fillId="0" borderId="25"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0" fontId="10" fillId="0" borderId="0" xfId="0" applyFont="1" applyAlignment="1">
      <alignment horizontal="center"/>
    </xf>
    <xf numFmtId="167" fontId="0" fillId="0" borderId="0" xfId="0" applyNumberFormat="1"/>
    <xf numFmtId="0" fontId="14" fillId="0" borderId="7" xfId="0" applyFont="1" applyBorder="1" applyAlignment="1">
      <alignment horizontal="center" vertical="top" wrapText="1"/>
    </xf>
    <xf numFmtId="2" fontId="0" fillId="0" borderId="0" xfId="0" applyNumberFormat="1"/>
    <xf numFmtId="0" fontId="9" fillId="0" borderId="0" xfId="0" applyNumberFormat="1" applyFont="1" applyBorder="1" applyAlignment="1">
      <alignment horizontal="center" wrapText="1"/>
    </xf>
    <xf numFmtId="0" fontId="9" fillId="0" borderId="0" xfId="0" applyFont="1" applyAlignment="1"/>
    <xf numFmtId="0" fontId="5" fillId="0" borderId="0" xfId="0" applyFont="1"/>
    <xf numFmtId="0" fontId="27" fillId="2" borderId="26" xfId="0" applyFont="1" applyFill="1" applyBorder="1"/>
    <xf numFmtId="0" fontId="0" fillId="2" borderId="28" xfId="0" applyFill="1" applyBorder="1" applyAlignment="1">
      <alignment horizontal="right"/>
    </xf>
    <xf numFmtId="15" fontId="13" fillId="0" borderId="27" xfId="0" applyNumberFormat="1" applyFont="1" applyBorder="1" applyProtection="1">
      <protection locked="0"/>
    </xf>
    <xf numFmtId="0" fontId="5" fillId="2" borderId="29" xfId="0" applyFont="1" applyFill="1" applyBorder="1" applyAlignment="1">
      <alignment horizontal="right"/>
    </xf>
    <xf numFmtId="0" fontId="6" fillId="0" borderId="0" xfId="0" applyFont="1" applyBorder="1" applyAlignment="1" applyProtection="1">
      <alignment vertical="top" wrapText="1"/>
    </xf>
    <xf numFmtId="0" fontId="0" fillId="0" borderId="0" xfId="0" applyAlignment="1"/>
    <xf numFmtId="0" fontId="5" fillId="0" borderId="0" xfId="0" applyFont="1" applyAlignment="1"/>
    <xf numFmtId="0" fontId="5" fillId="0" borderId="0" xfId="0" applyFont="1" applyAlignment="1">
      <alignment wrapText="1"/>
    </xf>
    <xf numFmtId="0" fontId="0" fillId="0" borderId="0" xfId="0" applyProtection="1">
      <protection locked="0"/>
    </xf>
    <xf numFmtId="0" fontId="14" fillId="0" borderId="16" xfId="0" applyFont="1" applyBorder="1" applyAlignment="1" applyProtection="1">
      <alignment horizontal="center" vertical="center" wrapText="1"/>
      <protection locked="0"/>
    </xf>
    <xf numFmtId="0" fontId="7" fillId="0" borderId="16" xfId="0" applyFont="1" applyBorder="1" applyAlignment="1" applyProtection="1">
      <alignment horizontal="center" wrapText="1"/>
      <protection locked="0"/>
    </xf>
    <xf numFmtId="0" fontId="14" fillId="0" borderId="16" xfId="0" applyFont="1" applyBorder="1" applyAlignment="1" applyProtection="1">
      <alignment horizontal="center" vertical="top" wrapText="1"/>
      <protection locked="0"/>
    </xf>
    <xf numFmtId="0" fontId="14" fillId="0" borderId="7" xfId="0" applyFont="1" applyBorder="1" applyAlignment="1" applyProtection="1">
      <alignment horizontal="center" wrapText="1"/>
      <protection locked="0"/>
    </xf>
    <xf numFmtId="0" fontId="7" fillId="0" borderId="7" xfId="0" applyFont="1" applyBorder="1" applyProtection="1">
      <protection locked="0"/>
    </xf>
    <xf numFmtId="0" fontId="14" fillId="0" borderId="7" xfId="0" applyFont="1" applyBorder="1" applyAlignment="1" applyProtection="1">
      <alignment horizontal="center" vertical="center" wrapText="1"/>
      <protection locked="0"/>
    </xf>
    <xf numFmtId="168" fontId="10" fillId="0" borderId="18" xfId="0" applyNumberFormat="1" applyFont="1" applyBorder="1" applyAlignment="1" applyProtection="1">
      <alignment horizontal="center"/>
      <protection locked="0"/>
    </xf>
    <xf numFmtId="0" fontId="0" fillId="0" borderId="19" xfId="0" applyBorder="1" applyProtection="1"/>
    <xf numFmtId="0" fontId="0" fillId="0" borderId="6" xfId="0" applyBorder="1" applyProtection="1"/>
    <xf numFmtId="15" fontId="31" fillId="0" borderId="4" xfId="0" applyNumberFormat="1" applyFont="1" applyBorder="1" applyAlignment="1" applyProtection="1">
      <alignment horizontal="center"/>
      <protection locked="0"/>
    </xf>
    <xf numFmtId="0" fontId="30" fillId="2" borderId="29" xfId="0" applyFont="1" applyFill="1" applyBorder="1" applyAlignment="1">
      <alignment horizontal="right"/>
    </xf>
    <xf numFmtId="0" fontId="30" fillId="0" borderId="0" xfId="0" applyFont="1" applyAlignment="1"/>
    <xf numFmtId="0" fontId="30" fillId="0" borderId="0" xfId="0" applyFont="1"/>
    <xf numFmtId="0" fontId="30" fillId="0" borderId="0" xfId="0" applyFont="1" applyAlignment="1">
      <alignment wrapText="1"/>
    </xf>
    <xf numFmtId="0" fontId="7" fillId="2" borderId="15" xfId="0" applyFont="1" applyFill="1" applyBorder="1" applyAlignment="1">
      <alignment horizontal="center" wrapText="1"/>
    </xf>
    <xf numFmtId="0" fontId="10" fillId="0" borderId="0" xfId="0" applyFont="1" applyAlignment="1">
      <alignment vertical="center" wrapText="1"/>
    </xf>
    <xf numFmtId="0" fontId="19" fillId="0" borderId="0" xfId="0" applyFont="1" applyAlignment="1"/>
    <xf numFmtId="0" fontId="10" fillId="0" borderId="0" xfId="0" applyFont="1" applyAlignment="1">
      <alignment horizontal="right"/>
    </xf>
    <xf numFmtId="0" fontId="10" fillId="0" borderId="0" xfId="0" applyFont="1" applyBorder="1" applyAlignment="1" applyProtection="1">
      <protection locked="0"/>
    </xf>
    <xf numFmtId="0" fontId="12" fillId="0" borderId="0" xfId="0" applyFont="1" applyAlignment="1">
      <alignment vertical="center"/>
    </xf>
    <xf numFmtId="0" fontId="6" fillId="0" borderId="0" xfId="0" applyFont="1" applyAlignment="1">
      <alignment vertical="top"/>
    </xf>
    <xf numFmtId="0" fontId="5" fillId="0" borderId="0" xfId="0" applyFont="1" applyBorder="1" applyAlignment="1">
      <alignment vertical="top"/>
    </xf>
    <xf numFmtId="0" fontId="0" fillId="0" borderId="0" xfId="0" applyBorder="1" applyAlignment="1">
      <alignment vertical="top"/>
    </xf>
    <xf numFmtId="0" fontId="12" fillId="0" borderId="0" xfId="0" applyFont="1" applyAlignment="1">
      <alignment horizontal="right" vertical="center"/>
    </xf>
    <xf numFmtId="0" fontId="5" fillId="0" borderId="0" xfId="0" applyFont="1" applyBorder="1" applyAlignment="1">
      <alignment horizontal="right"/>
    </xf>
    <xf numFmtId="0" fontId="12" fillId="0" borderId="0" xfId="0" applyFont="1" applyAlignment="1">
      <alignment horizontal="left" vertical="center"/>
    </xf>
    <xf numFmtId="0" fontId="12" fillId="0" borderId="31" xfId="0" applyFont="1" applyBorder="1" applyAlignment="1">
      <alignment horizontal="right" vertical="center"/>
    </xf>
    <xf numFmtId="0" fontId="12" fillId="0" borderId="31" xfId="0" applyFont="1" applyBorder="1" applyAlignment="1">
      <alignment vertical="center"/>
    </xf>
    <xf numFmtId="0" fontId="12" fillId="0" borderId="31" xfId="0" applyFont="1" applyBorder="1" applyAlignment="1">
      <alignment horizontal="left" vertical="center"/>
    </xf>
    <xf numFmtId="0" fontId="10" fillId="0" borderId="0" xfId="0" quotePrefix="1" applyFont="1" applyAlignment="1">
      <alignment horizontal="left" vertical="center"/>
    </xf>
    <xf numFmtId="0" fontId="10" fillId="0" borderId="0" xfId="0" applyFont="1" applyAlignment="1" applyProtection="1">
      <alignment horizontal="right"/>
    </xf>
    <xf numFmtId="0" fontId="0" fillId="0" borderId="18" xfId="0" applyBorder="1" applyAlignment="1" applyProtection="1">
      <protection locked="0"/>
    </xf>
    <xf numFmtId="0" fontId="0" fillId="0" borderId="0" xfId="0" applyBorder="1" applyAlignment="1" applyProtection="1">
      <protection locked="0"/>
    </xf>
    <xf numFmtId="0" fontId="32" fillId="0" borderId="0" xfId="0" applyFont="1" applyAlignment="1">
      <alignment horizontal="right" vertical="center"/>
    </xf>
    <xf numFmtId="0" fontId="19" fillId="0" borderId="0" xfId="0" applyFont="1" applyAlignment="1">
      <alignment vertical="top"/>
    </xf>
    <xf numFmtId="0" fontId="12" fillId="0" borderId="0" xfId="0" applyFont="1" applyBorder="1" applyAlignment="1">
      <alignment horizontal="right" vertical="center"/>
    </xf>
    <xf numFmtId="0" fontId="12" fillId="0" borderId="0" xfId="0" applyFont="1" applyBorder="1" applyAlignment="1">
      <alignment vertical="center"/>
    </xf>
    <xf numFmtId="0" fontId="12" fillId="0" borderId="0" xfId="0" applyFont="1" applyBorder="1" applyAlignment="1">
      <alignment horizontal="left" vertical="center"/>
    </xf>
    <xf numFmtId="18" fontId="23" fillId="0" borderId="18" xfId="0" applyNumberFormat="1" applyFont="1" applyBorder="1" applyAlignment="1">
      <alignment horizontal="center" wrapText="1"/>
    </xf>
    <xf numFmtId="168" fontId="10" fillId="0" borderId="18" xfId="0" applyNumberFormat="1" applyFont="1" applyBorder="1" applyAlignment="1" applyProtection="1">
      <alignment horizontal="center"/>
      <protection locked="0"/>
    </xf>
    <xf numFmtId="0" fontId="10" fillId="0" borderId="0" xfId="0" applyFont="1" applyAlignment="1">
      <alignment horizontal="left" vertical="center"/>
    </xf>
    <xf numFmtId="0" fontId="32" fillId="0" borderId="0" xfId="0" applyFont="1" applyAlignment="1">
      <alignment horizontal="left" vertical="center"/>
    </xf>
    <xf numFmtId="15" fontId="30" fillId="2" borderId="2" xfId="0" applyNumberFormat="1" applyFont="1" applyFill="1" applyBorder="1" applyAlignment="1">
      <alignment horizontal="center"/>
    </xf>
    <xf numFmtId="168" fontId="10" fillId="0" borderId="0" xfId="0" applyNumberFormat="1" applyFont="1" applyBorder="1" applyAlignment="1" applyProtection="1">
      <alignment horizontal="center"/>
      <protection locked="0"/>
    </xf>
    <xf numFmtId="0" fontId="19" fillId="0" borderId="0" xfId="0" applyFont="1" applyAlignment="1">
      <alignment vertical="center" wrapText="1"/>
    </xf>
    <xf numFmtId="0" fontId="0" fillId="0" borderId="0" xfId="0" applyBorder="1" applyAlignment="1">
      <alignment horizontal="left"/>
    </xf>
    <xf numFmtId="0" fontId="5" fillId="0" borderId="0" xfId="0" applyFont="1" applyAlignment="1">
      <alignment horizontal="right" vertical="top"/>
    </xf>
    <xf numFmtId="15" fontId="5" fillId="0" borderId="0" xfId="0" applyNumberFormat="1" applyFont="1" applyBorder="1" applyAlignment="1">
      <alignment horizontal="left"/>
    </xf>
    <xf numFmtId="0" fontId="7" fillId="0" borderId="0" xfId="0" applyFont="1" applyAlignment="1">
      <alignment horizontal="right" vertical="top"/>
    </xf>
    <xf numFmtId="15" fontId="7" fillId="0" borderId="0" xfId="0" applyNumberFormat="1" applyFont="1" applyAlignment="1">
      <alignment horizontal="left"/>
    </xf>
    <xf numFmtId="0" fontId="5" fillId="2" borderId="27" xfId="0" applyFont="1" applyFill="1" applyBorder="1" applyAlignment="1">
      <alignment horizontal="right" vertical="center"/>
    </xf>
    <xf numFmtId="170" fontId="12" fillId="0" borderId="0" xfId="0" applyNumberFormat="1" applyFont="1" applyAlignment="1">
      <alignment vertical="center"/>
    </xf>
    <xf numFmtId="170" fontId="0" fillId="0" borderId="27" xfId="0" applyNumberFormat="1" applyBorder="1" applyAlignment="1" applyProtection="1">
      <alignment horizontal="left"/>
      <protection locked="0"/>
    </xf>
    <xf numFmtId="0" fontId="0" fillId="2" borderId="32" xfId="0" applyFill="1" applyBorder="1" applyAlignment="1">
      <alignment horizontal="right"/>
    </xf>
    <xf numFmtId="0" fontId="0" fillId="2" borderId="17" xfId="0" applyFill="1" applyBorder="1"/>
    <xf numFmtId="0" fontId="13" fillId="0" borderId="0" xfId="0" applyFont="1" applyBorder="1" applyAlignment="1" applyProtection="1">
      <protection locked="0"/>
    </xf>
    <xf numFmtId="0" fontId="36" fillId="0" borderId="0" xfId="0" applyFont="1"/>
    <xf numFmtId="0" fontId="35" fillId="0" borderId="0" xfId="0" applyFont="1"/>
    <xf numFmtId="0" fontId="35" fillId="0" borderId="0" xfId="0" applyFont="1" applyAlignment="1">
      <alignment vertical="top" wrapText="1"/>
    </xf>
    <xf numFmtId="167" fontId="38" fillId="0" borderId="16" xfId="0" applyNumberFormat="1" applyFont="1" applyBorder="1" applyAlignment="1">
      <alignment horizontal="center" wrapText="1"/>
    </xf>
    <xf numFmtId="0" fontId="38" fillId="0" borderId="17" xfId="0" applyFont="1" applyBorder="1" applyAlignment="1">
      <alignment horizontal="center" vertical="center"/>
    </xf>
    <xf numFmtId="0" fontId="39" fillId="0" borderId="16" xfId="0" applyFont="1" applyBorder="1" applyAlignment="1">
      <alignment horizontal="center" vertical="center" wrapText="1"/>
    </xf>
    <xf numFmtId="0" fontId="8" fillId="0" borderId="30" xfId="0" applyFont="1" applyBorder="1"/>
    <xf numFmtId="167" fontId="39" fillId="0" borderId="16" xfId="0" applyNumberFormat="1" applyFont="1" applyBorder="1" applyAlignment="1">
      <alignment horizontal="center" vertical="center"/>
    </xf>
    <xf numFmtId="18" fontId="39" fillId="0" borderId="16" xfId="0" applyNumberFormat="1" applyFont="1" applyBorder="1" applyAlignment="1">
      <alignment horizontal="center" vertical="center" wrapText="1"/>
    </xf>
    <xf numFmtId="0" fontId="8" fillId="0" borderId="16" xfId="0" applyFont="1" applyBorder="1"/>
    <xf numFmtId="167" fontId="38" fillId="0" borderId="7" xfId="0" applyNumberFormat="1" applyFont="1" applyBorder="1"/>
    <xf numFmtId="0" fontId="38" fillId="0" borderId="18" xfId="0" applyFont="1" applyBorder="1" applyAlignment="1">
      <alignment horizontal="center" vertical="center"/>
    </xf>
    <xf numFmtId="0" fontId="39" fillId="0" borderId="7" xfId="0" applyFont="1" applyBorder="1" applyAlignment="1">
      <alignment horizontal="center" vertical="center" wrapText="1"/>
    </xf>
    <xf numFmtId="0" fontId="8" fillId="0" borderId="7" xfId="0" applyFont="1" applyBorder="1"/>
    <xf numFmtId="0" fontId="38" fillId="0" borderId="16" xfId="0" applyFont="1" applyBorder="1" applyAlignment="1">
      <alignment horizontal="center" vertical="center"/>
    </xf>
    <xf numFmtId="166" fontId="23" fillId="0" borderId="16" xfId="0" applyNumberFormat="1" applyFont="1" applyBorder="1" applyAlignment="1">
      <alignment horizontal="center" vertical="center" wrapText="1"/>
    </xf>
    <xf numFmtId="165" fontId="23" fillId="0" borderId="7" xfId="0" applyNumberFormat="1" applyFont="1" applyBorder="1" applyAlignment="1">
      <alignment horizontal="center" vertical="center" wrapText="1"/>
    </xf>
    <xf numFmtId="0" fontId="29" fillId="0" borderId="0" xfId="0" applyFont="1" applyAlignment="1">
      <alignment horizontal="center"/>
    </xf>
    <xf numFmtId="0" fontId="13" fillId="0" borderId="27" xfId="0" applyFont="1" applyBorder="1" applyAlignment="1" applyProtection="1">
      <alignment horizontal="center"/>
      <protection locked="0"/>
    </xf>
    <xf numFmtId="0" fontId="35" fillId="0" borderId="0" xfId="0" applyFont="1" applyAlignment="1">
      <alignment horizontal="left" vertical="top" wrapText="1"/>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34" fillId="0" borderId="0" xfId="0" applyFont="1" applyAlignment="1">
      <alignment horizontal="right"/>
    </xf>
    <xf numFmtId="0" fontId="0" fillId="2" borderId="9" xfId="0" applyFill="1" applyBorder="1" applyAlignment="1">
      <alignment horizontal="center"/>
    </xf>
    <xf numFmtId="0" fontId="5" fillId="0" borderId="0" xfId="0" applyFont="1" applyAlignment="1">
      <alignment horizontal="left"/>
    </xf>
    <xf numFmtId="0" fontId="21" fillId="0" borderId="18" xfId="0"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horizontal="left" vertical="center"/>
    </xf>
    <xf numFmtId="2" fontId="0" fillId="0" borderId="0" xfId="0" applyNumberFormat="1" applyAlignment="1">
      <alignment horizontal="center"/>
    </xf>
    <xf numFmtId="2" fontId="0" fillId="0" borderId="18" xfId="0" applyNumberFormat="1" applyBorder="1" applyAlignment="1">
      <alignment horizontal="center"/>
    </xf>
    <xf numFmtId="0" fontId="0" fillId="0" borderId="0" xfId="0" applyAlignment="1">
      <alignment horizontal="center"/>
    </xf>
    <xf numFmtId="0" fontId="0" fillId="0" borderId="18" xfId="0" applyBorder="1" applyAlignment="1">
      <alignment horizontal="center"/>
    </xf>
    <xf numFmtId="0" fontId="37" fillId="0" borderId="0" xfId="0" applyFont="1" applyAlignment="1">
      <alignment horizontal="center" vertical="center" wrapText="1"/>
    </xf>
    <xf numFmtId="0" fontId="9" fillId="0" borderId="0" xfId="0" applyFont="1" applyAlignment="1">
      <alignment horizontal="center"/>
    </xf>
    <xf numFmtId="0" fontId="10" fillId="0" borderId="0" xfId="0" applyFont="1" applyAlignment="1">
      <alignment horizontal="center" vertical="center" wrapText="1"/>
    </xf>
    <xf numFmtId="0" fontId="10" fillId="0" borderId="0" xfId="0" applyFont="1" applyAlignment="1">
      <alignment horizontal="right" vertical="center"/>
    </xf>
    <xf numFmtId="0" fontId="39" fillId="0" borderId="22" xfId="0" applyFont="1" applyBorder="1" applyAlignment="1" applyProtection="1">
      <alignment horizontal="center" vertical="center" wrapText="1"/>
      <protection locked="0"/>
    </xf>
    <xf numFmtId="0" fontId="39" fillId="0" borderId="18" xfId="0" applyFont="1" applyBorder="1" applyAlignment="1" applyProtection="1">
      <alignment horizontal="center" vertical="center" wrapText="1"/>
      <protection locked="0"/>
    </xf>
    <xf numFmtId="0" fontId="39" fillId="0" borderId="8" xfId="0" applyFont="1" applyBorder="1" applyAlignment="1" applyProtection="1">
      <alignment horizontal="center" vertical="center" wrapText="1"/>
      <protection locked="0"/>
    </xf>
    <xf numFmtId="0" fontId="39" fillId="0" borderId="19" xfId="0" applyFont="1" applyBorder="1" applyAlignment="1" applyProtection="1">
      <alignment horizontal="center" vertical="center" wrapText="1"/>
      <protection locked="0"/>
    </xf>
    <xf numFmtId="0" fontId="39" fillId="0" borderId="20" xfId="0" applyFont="1" applyBorder="1" applyAlignment="1" applyProtection="1">
      <alignment horizontal="center" vertical="center" wrapText="1"/>
      <protection locked="0"/>
    </xf>
    <xf numFmtId="0" fontId="39" fillId="0" borderId="21" xfId="0" applyFont="1" applyBorder="1" applyAlignment="1" applyProtection="1">
      <alignment horizontal="center" vertical="center" wrapText="1"/>
      <protection locked="0"/>
    </xf>
    <xf numFmtId="0" fontId="39" fillId="0" borderId="6"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wrapText="1"/>
      <protection locked="0"/>
    </xf>
    <xf numFmtId="0" fontId="39" fillId="0" borderId="17" xfId="0" applyFont="1" applyBorder="1" applyAlignment="1" applyProtection="1">
      <alignment horizontal="center" vertical="center" wrapText="1"/>
      <protection locked="0"/>
    </xf>
    <xf numFmtId="0" fontId="10" fillId="0" borderId="0" xfId="0" applyFont="1" applyAlignment="1">
      <alignment horizontal="center" vertical="center"/>
    </xf>
    <xf numFmtId="0" fontId="7" fillId="2" borderId="9" xfId="0" applyFont="1" applyFill="1" applyBorder="1" applyAlignment="1">
      <alignment horizontal="center"/>
    </xf>
    <xf numFmtId="0" fontId="7" fillId="2" borderId="5" xfId="0" applyFont="1" applyFill="1" applyBorder="1" applyAlignment="1">
      <alignment horizontal="center"/>
    </xf>
    <xf numFmtId="0" fontId="7" fillId="2" borderId="10" xfId="0" applyFont="1" applyFill="1" applyBorder="1" applyAlignment="1">
      <alignment horizontal="center"/>
    </xf>
    <xf numFmtId="0" fontId="10" fillId="0" borderId="0" xfId="0" applyFont="1" applyBorder="1" applyAlignment="1">
      <alignment horizontal="right"/>
    </xf>
    <xf numFmtId="0" fontId="10" fillId="0" borderId="0" xfId="0" applyFont="1" applyAlignment="1">
      <alignment horizontal="right"/>
    </xf>
    <xf numFmtId="0" fontId="6" fillId="0" borderId="20" xfId="0" applyFont="1" applyBorder="1" applyAlignment="1">
      <alignment horizontal="center" vertical="top"/>
    </xf>
    <xf numFmtId="15" fontId="0" fillId="0" borderId="0" xfId="0" applyNumberFormat="1" applyBorder="1" applyAlignment="1">
      <alignment horizontal="left" vertical="top"/>
    </xf>
    <xf numFmtId="0" fontId="0" fillId="0" borderId="0" xfId="0" applyBorder="1" applyAlignment="1">
      <alignment horizontal="left" vertical="top"/>
    </xf>
    <xf numFmtId="0" fontId="33" fillId="0" borderId="0" xfId="0" applyFont="1" applyAlignment="1">
      <alignment horizontal="left" vertical="center"/>
    </xf>
    <xf numFmtId="0" fontId="6" fillId="0" borderId="0" xfId="0" applyFont="1" applyBorder="1" applyAlignment="1" applyProtection="1">
      <alignment horizontal="center" wrapText="1"/>
    </xf>
    <xf numFmtId="0" fontId="5" fillId="0" borderId="0" xfId="0" applyFont="1" applyBorder="1" applyAlignment="1">
      <alignment horizontal="right" vertical="top"/>
    </xf>
    <xf numFmtId="0" fontId="0" fillId="0" borderId="0" xfId="0" applyBorder="1" applyAlignment="1">
      <alignment horizontal="right" vertical="top"/>
    </xf>
    <xf numFmtId="167" fontId="12" fillId="0" borderId="20" xfId="0" applyNumberFormat="1" applyFont="1" applyBorder="1" applyAlignment="1">
      <alignment horizontal="center" vertical="center"/>
    </xf>
    <xf numFmtId="0" fontId="10" fillId="0" borderId="5" xfId="0" applyFont="1" applyBorder="1" applyAlignment="1" applyProtection="1">
      <alignment horizontal="left"/>
      <protection locked="0"/>
    </xf>
    <xf numFmtId="0" fontId="12" fillId="0" borderId="18" xfId="0" applyFont="1" applyBorder="1" applyAlignment="1" applyProtection="1">
      <alignment horizontal="left"/>
      <protection locked="0"/>
    </xf>
    <xf numFmtId="168" fontId="10" fillId="0" borderId="0" xfId="0" applyNumberFormat="1" applyFont="1" applyBorder="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protection locked="0"/>
    </xf>
    <xf numFmtId="0" fontId="5" fillId="0" borderId="22" xfId="0" applyFont="1" applyBorder="1" applyAlignment="1">
      <alignment horizontal="right"/>
    </xf>
    <xf numFmtId="0" fontId="0" fillId="0" borderId="18" xfId="0" applyBorder="1" applyAlignment="1">
      <alignment horizontal="right"/>
    </xf>
    <xf numFmtId="0" fontId="0" fillId="0" borderId="8" xfId="0" applyBorder="1" applyAlignment="1">
      <alignment horizontal="right"/>
    </xf>
    <xf numFmtId="15" fontId="0" fillId="0" borderId="22" xfId="0" applyNumberFormat="1" applyBorder="1" applyAlignment="1">
      <alignment horizontal="left"/>
    </xf>
    <xf numFmtId="0" fontId="0" fillId="0" borderId="18" xfId="0" applyBorder="1" applyAlignment="1">
      <alignment horizontal="left"/>
    </xf>
    <xf numFmtId="0" fontId="0" fillId="0" borderId="8" xfId="0" applyBorder="1" applyAlignment="1">
      <alignment horizontal="left"/>
    </xf>
    <xf numFmtId="0" fontId="10" fillId="0" borderId="18" xfId="0" applyFont="1" applyBorder="1" applyProtection="1">
      <protection locked="0"/>
    </xf>
    <xf numFmtId="168" fontId="10" fillId="0" borderId="18" xfId="0" applyNumberFormat="1" applyFont="1" applyBorder="1" applyAlignment="1" applyProtection="1">
      <alignment horizontal="center"/>
      <protection locked="0"/>
    </xf>
    <xf numFmtId="0" fontId="8" fillId="0" borderId="5" xfId="0" applyFont="1" applyBorder="1" applyAlignment="1" applyProtection="1">
      <alignment horizontal="left"/>
      <protection locked="0"/>
    </xf>
    <xf numFmtId="0" fontId="10" fillId="0" borderId="0" xfId="0" applyFont="1" applyAlignment="1" applyProtection="1">
      <alignment horizontal="right" vertic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0" fillId="0" borderId="18" xfId="0" applyBorder="1" applyAlignment="1" applyProtection="1">
      <alignment horizontal="left"/>
      <protection locked="0"/>
    </xf>
    <xf numFmtId="0" fontId="28" fillId="0" borderId="18" xfId="0" applyFont="1" applyBorder="1" applyAlignment="1" applyProtection="1">
      <alignment horizontal="left"/>
      <protection locked="0"/>
    </xf>
    <xf numFmtId="0" fontId="7" fillId="0" borderId="18" xfId="0" applyFont="1" applyFill="1" applyBorder="1" applyAlignment="1" applyProtection="1">
      <alignment horizontal="center" wrapText="1"/>
      <protection locked="0"/>
    </xf>
    <xf numFmtId="168" fontId="10" fillId="0" borderId="18" xfId="0" applyNumberFormat="1" applyFont="1" applyBorder="1" applyAlignment="1" applyProtection="1">
      <alignment horizontal="left"/>
      <protection locked="0"/>
    </xf>
    <xf numFmtId="169" fontId="12" fillId="0" borderId="5" xfId="0" applyNumberFormat="1" applyFont="1" applyBorder="1" applyAlignment="1" applyProtection="1">
      <alignment horizontal="left"/>
      <protection locked="0"/>
    </xf>
    <xf numFmtId="168" fontId="10" fillId="0" borderId="18" xfId="0" applyNumberFormat="1" applyFont="1" applyBorder="1" applyAlignment="1">
      <alignment horizontal="center"/>
    </xf>
    <xf numFmtId="0" fontId="19" fillId="0" borderId="0" xfId="0" applyFont="1" applyBorder="1" applyAlignment="1">
      <alignment horizontal="center"/>
    </xf>
    <xf numFmtId="0" fontId="7" fillId="0" borderId="18" xfId="0" applyFont="1" applyFill="1" applyBorder="1" applyAlignment="1" applyProtection="1">
      <alignment horizontal="left" wrapText="1"/>
      <protection locked="0"/>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15">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2</xdr:row>
      <xdr:rowOff>24577</xdr:rowOff>
    </xdr:from>
    <xdr:to>
      <xdr:col>2</xdr:col>
      <xdr:colOff>698900</xdr:colOff>
      <xdr:row>6</xdr:row>
      <xdr:rowOff>13272</xdr:rowOff>
    </xdr:to>
    <xdr:pic>
      <xdr:nvPicPr>
        <xdr:cNvPr id="2" name="Picture 1">
          <a:extLst>
            <a:ext uri="{FF2B5EF4-FFF2-40B4-BE49-F238E27FC236}">
              <a16:creationId xmlns:a16="http://schemas.microsoft.com/office/drawing/2014/main" id="{ECF1BBFE-B8D6-B945-BD9D-81491EC69EE0}"/>
            </a:ext>
          </a:extLst>
        </xdr:cNvPr>
        <xdr:cNvPicPr>
          <a:picLocks noChangeAspect="1"/>
        </xdr:cNvPicPr>
      </xdr:nvPicPr>
      <xdr:blipFill>
        <a:blip xmlns:r="http://schemas.openxmlformats.org/officeDocument/2006/relationships" r:embed="rId1"/>
        <a:stretch>
          <a:fillRect/>
        </a:stretch>
      </xdr:blipFill>
      <xdr:spPr>
        <a:xfrm>
          <a:off x="101600" y="430977"/>
          <a:ext cx="1714900" cy="1322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7243A14B-4D96-E346-B75C-AEE5C2592045}"/>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5EEAACE2-AD57-BD48-BB33-9A5E9F368AED}"/>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3"/>
  <sheetViews>
    <sheetView showGridLines="0" tabSelected="1" zoomScale="140" zoomScaleNormal="140" zoomScalePageLayoutView="135" workbookViewId="0">
      <selection activeCell="B4" sqref="B4"/>
    </sheetView>
  </sheetViews>
  <sheetFormatPr baseColWidth="10" defaultColWidth="8.83203125" defaultRowHeight="13" x14ac:dyDescent="0.15"/>
  <cols>
    <col min="1" max="1" width="16.5" style="2" customWidth="1"/>
    <col min="2" max="2" width="10.83203125" customWidth="1"/>
    <col min="3" max="3" width="1" style="3" hidden="1" customWidth="1"/>
    <col min="4" max="4" width="8.33203125" customWidth="1"/>
    <col min="5" max="5" width="17" bestFit="1" customWidth="1"/>
    <col min="6" max="11" width="34.1640625" customWidth="1"/>
    <col min="12" max="15" width="17.83203125" hidden="1" customWidth="1"/>
    <col min="16" max="16" width="2.1640625" customWidth="1"/>
  </cols>
  <sheetData>
    <row r="1" spans="1:33" ht="20" customHeight="1" x14ac:dyDescent="0.2">
      <c r="A1" s="168" t="s">
        <v>88</v>
      </c>
      <c r="B1" s="168"/>
      <c r="C1" s="168"/>
      <c r="D1" s="168"/>
      <c r="E1" s="168"/>
      <c r="F1" s="168"/>
      <c r="G1" s="168"/>
      <c r="H1" s="92" t="s">
        <v>82</v>
      </c>
      <c r="Q1" s="170" t="s">
        <v>86</v>
      </c>
      <c r="R1" s="170"/>
      <c r="S1" s="170"/>
      <c r="T1" s="170"/>
      <c r="U1" s="170"/>
      <c r="V1" s="170"/>
      <c r="W1" s="170"/>
      <c r="X1" s="170"/>
      <c r="Y1" s="170"/>
      <c r="Z1" s="170"/>
      <c r="AA1" s="170"/>
      <c r="AB1" s="170"/>
      <c r="AC1" s="170"/>
      <c r="AD1" s="170"/>
      <c r="AE1" s="170"/>
      <c r="AF1" s="170"/>
      <c r="AG1" s="153"/>
    </row>
    <row r="2" spans="1:33" ht="13" customHeight="1" thickBot="1" x14ac:dyDescent="0.2">
      <c r="H2" s="93"/>
      <c r="I2" s="93"/>
      <c r="Q2" s="170"/>
      <c r="R2" s="170"/>
      <c r="S2" s="170"/>
      <c r="T2" s="170"/>
      <c r="U2" s="170"/>
      <c r="V2" s="170"/>
      <c r="W2" s="170"/>
      <c r="X2" s="170"/>
      <c r="Y2" s="170"/>
      <c r="Z2" s="170"/>
      <c r="AA2" s="170"/>
      <c r="AB2" s="170"/>
      <c r="AC2" s="170"/>
      <c r="AD2" s="170"/>
      <c r="AE2" s="170"/>
      <c r="AF2" s="170"/>
      <c r="AG2" s="153"/>
    </row>
    <row r="3" spans="1:33" s="107" customFormat="1" ht="13" customHeight="1" thickBot="1" x14ac:dyDescent="0.2">
      <c r="A3" s="105" t="s">
        <v>81</v>
      </c>
      <c r="B3" s="137">
        <v>45167</v>
      </c>
      <c r="C3" s="106"/>
      <c r="D3" s="106"/>
      <c r="G3" s="106"/>
      <c r="H3" s="108"/>
      <c r="I3" s="108"/>
      <c r="Q3" s="170"/>
      <c r="R3" s="170"/>
      <c r="S3" s="170"/>
      <c r="T3" s="170"/>
      <c r="U3" s="170"/>
      <c r="V3" s="170"/>
      <c r="W3" s="170"/>
      <c r="X3" s="170"/>
      <c r="Y3" s="170"/>
      <c r="Z3" s="170"/>
      <c r="AA3" s="170"/>
      <c r="AB3" s="170"/>
      <c r="AC3" s="170"/>
      <c r="AD3" s="170"/>
      <c r="AE3" s="170"/>
      <c r="AF3" s="170"/>
      <c r="AG3" s="153"/>
    </row>
    <row r="4" spans="1:33" ht="13" customHeight="1" x14ac:dyDescent="0.15">
      <c r="A4" s="89" t="s">
        <v>83</v>
      </c>
      <c r="B4" s="104">
        <v>45211</v>
      </c>
      <c r="C4" s="91"/>
      <c r="D4" s="91"/>
      <c r="G4" s="91"/>
      <c r="H4" s="93"/>
      <c r="I4" s="93"/>
      <c r="Q4" s="170"/>
      <c r="R4" s="170"/>
      <c r="S4" s="170"/>
      <c r="T4" s="170"/>
      <c r="U4" s="170"/>
      <c r="V4" s="170"/>
      <c r="W4" s="170"/>
      <c r="X4" s="170"/>
      <c r="Y4" s="170"/>
      <c r="Z4" s="170"/>
      <c r="AA4" s="170"/>
      <c r="AB4" s="170"/>
      <c r="AC4" s="170"/>
      <c r="AD4" s="170"/>
      <c r="AE4" s="170"/>
      <c r="AF4" s="170"/>
      <c r="AG4" s="153"/>
    </row>
    <row r="5" spans="1:33" ht="7" customHeight="1" thickBot="1" x14ac:dyDescent="0.2">
      <c r="H5" s="93"/>
      <c r="I5" s="93"/>
      <c r="Q5" s="153"/>
      <c r="R5" s="153"/>
      <c r="S5" s="153"/>
      <c r="T5" s="153"/>
      <c r="U5" s="153"/>
      <c r="V5" s="153"/>
      <c r="W5" s="153"/>
      <c r="X5" s="153"/>
      <c r="Y5" s="153"/>
      <c r="Z5" s="153"/>
      <c r="AA5" s="153"/>
      <c r="AB5" s="153"/>
      <c r="AC5" s="153"/>
      <c r="AD5" s="153"/>
      <c r="AE5" s="153"/>
      <c r="AF5" s="153"/>
      <c r="AG5" s="153"/>
    </row>
    <row r="6" spans="1:33" ht="18" x14ac:dyDescent="0.2">
      <c r="A6" s="11" t="s">
        <v>18</v>
      </c>
      <c r="B6" s="68">
        <v>200</v>
      </c>
      <c r="C6">
        <f>IF(Brevet_Length&gt;=1200,Brevet_Length,IF(Brevet_Length&gt;=1000,1000,IF(Brevet_Length&gt;=600,600,IF(Brevet_Length&gt;=400,400,IF(Brevet_Length&gt;=300,300,IF(Brevet_Length&gt;=200,200,100))))))</f>
        <v>200</v>
      </c>
      <c r="J6" s="174" t="s">
        <v>63</v>
      </c>
      <c r="K6" s="174"/>
      <c r="Q6" s="151" t="s">
        <v>64</v>
      </c>
      <c r="R6" s="151"/>
      <c r="S6" s="151"/>
      <c r="T6" s="151"/>
      <c r="U6" s="151"/>
      <c r="V6" s="151"/>
      <c r="W6" s="151"/>
      <c r="X6" s="152"/>
      <c r="Y6" s="152"/>
      <c r="Z6" s="152"/>
    </row>
    <row r="7" spans="1:33" ht="14" x14ac:dyDescent="0.15">
      <c r="A7" s="12" t="s">
        <v>19</v>
      </c>
      <c r="B7" s="149">
        <f>IF(brevet=1200,90,IF(brevet=1000,75,IF(brevet=600,40,IF(brevet=400,27,IF(brevet=300,20,IF(brevet=200,13.5,IF(brevet&lt;200,L7,0)))))))</f>
        <v>13.5</v>
      </c>
      <c r="L7">
        <f>IF(Brevet_Length=150,10.5,IF(Brevet_Length=100,7,IF(Brevet_Length=50,3.5,IF(Brevet_Length=25, 2,0))))</f>
        <v>0</v>
      </c>
      <c r="Q7" s="152" t="s">
        <v>65</v>
      </c>
      <c r="R7" s="152"/>
      <c r="S7" s="152"/>
      <c r="T7" s="152"/>
      <c r="U7" s="152"/>
      <c r="V7" s="152"/>
      <c r="W7" s="152"/>
      <c r="X7" s="152"/>
      <c r="Y7" s="152"/>
      <c r="Z7" s="152"/>
    </row>
    <row r="8" spans="1:33" ht="18" x14ac:dyDescent="0.2">
      <c r="A8" s="148" t="s">
        <v>20</v>
      </c>
      <c r="B8" s="169" t="s">
        <v>103</v>
      </c>
      <c r="C8" s="169"/>
      <c r="D8" s="169"/>
      <c r="E8" s="169"/>
      <c r="F8" s="169"/>
      <c r="G8" s="150"/>
      <c r="H8" s="150"/>
      <c r="I8" s="26"/>
      <c r="J8" s="26"/>
      <c r="K8" s="26"/>
      <c r="O8" s="27"/>
      <c r="P8" s="27"/>
      <c r="Q8" s="151" t="s">
        <v>66</v>
      </c>
      <c r="R8" s="152"/>
      <c r="S8" s="152"/>
      <c r="T8" s="152"/>
      <c r="U8" s="152"/>
      <c r="V8" s="152"/>
      <c r="W8" s="152"/>
      <c r="X8" s="152"/>
      <c r="Y8" s="152"/>
      <c r="Z8" s="152"/>
    </row>
    <row r="9" spans="1:33" ht="18" x14ac:dyDescent="0.2">
      <c r="A9" s="12" t="s">
        <v>21</v>
      </c>
      <c r="B9" s="69">
        <v>5278</v>
      </c>
      <c r="C9" s="23"/>
      <c r="F9" s="24"/>
      <c r="G9" s="24"/>
      <c r="H9" s="24"/>
      <c r="I9" s="24"/>
      <c r="J9" s="24"/>
      <c r="K9" s="24"/>
      <c r="Q9" s="151" t="s">
        <v>67</v>
      </c>
      <c r="R9" s="152"/>
      <c r="S9" s="152"/>
      <c r="T9" s="152"/>
      <c r="U9" s="152"/>
      <c r="V9" s="152"/>
      <c r="W9" s="152"/>
      <c r="X9" s="152"/>
      <c r="Y9" s="152"/>
      <c r="Z9" s="152"/>
    </row>
    <row r="10" spans="1:33" ht="18" x14ac:dyDescent="0.2">
      <c r="A10" s="47" t="s">
        <v>48</v>
      </c>
      <c r="B10" s="70">
        <v>45213</v>
      </c>
      <c r="E10" s="145" t="s">
        <v>99</v>
      </c>
      <c r="F10" s="147" t="s">
        <v>119</v>
      </c>
      <c r="Q10" s="151" t="s">
        <v>68</v>
      </c>
      <c r="R10" s="152"/>
      <c r="S10" s="152"/>
      <c r="T10" s="152"/>
      <c r="U10" s="152"/>
      <c r="V10" s="152"/>
      <c r="W10" s="152"/>
      <c r="X10" s="152"/>
      <c r="Y10" s="152"/>
      <c r="Z10" s="152"/>
    </row>
    <row r="11" spans="1:33" ht="6" customHeight="1" x14ac:dyDescent="0.15">
      <c r="B11" s="94"/>
      <c r="Q11" s="152"/>
      <c r="R11" s="152"/>
      <c r="S11" s="152"/>
      <c r="T11" s="152"/>
      <c r="U11" s="152"/>
      <c r="V11" s="152"/>
      <c r="W11" s="152"/>
      <c r="X11" s="152"/>
      <c r="Y11" s="152"/>
      <c r="Z11" s="152"/>
    </row>
    <row r="12" spans="1:33" ht="18" customHeight="1" thickBot="1" x14ac:dyDescent="0.25">
      <c r="A12" s="87" t="s">
        <v>22</v>
      </c>
      <c r="B12" s="88">
        <v>45213</v>
      </c>
      <c r="Q12" s="151" t="s">
        <v>75</v>
      </c>
      <c r="R12" s="152"/>
      <c r="S12" s="152"/>
      <c r="T12" s="152"/>
      <c r="U12" s="152"/>
      <c r="V12" s="152"/>
      <c r="W12" s="152"/>
      <c r="X12" s="152"/>
      <c r="Y12" s="152"/>
      <c r="Z12" s="152"/>
    </row>
    <row r="13" spans="1:33" ht="19" thickBot="1" x14ac:dyDescent="0.25">
      <c r="A13" s="10" t="s">
        <v>23</v>
      </c>
      <c r="B13" s="71">
        <v>0.33333333333333331</v>
      </c>
      <c r="D13" s="171" t="s">
        <v>80</v>
      </c>
      <c r="E13" s="172"/>
      <c r="F13" s="172"/>
      <c r="G13" s="172"/>
      <c r="H13" s="172"/>
      <c r="I13" s="175" t="s">
        <v>70</v>
      </c>
      <c r="J13" s="172"/>
      <c r="K13" s="173"/>
      <c r="Q13" s="151" t="s">
        <v>74</v>
      </c>
      <c r="R13" s="152"/>
      <c r="S13" s="152"/>
      <c r="T13" s="152"/>
      <c r="U13" s="152"/>
      <c r="V13" s="152"/>
      <c r="W13" s="152"/>
      <c r="X13" s="152"/>
      <c r="Y13" s="152"/>
      <c r="Z13" s="152"/>
    </row>
    <row r="14" spans="1:33" ht="15" thickBot="1" x14ac:dyDescent="0.2">
      <c r="D14" s="6" t="s">
        <v>24</v>
      </c>
      <c r="E14" s="7" t="s">
        <v>25</v>
      </c>
      <c r="F14" s="62" t="s">
        <v>26</v>
      </c>
      <c r="G14" s="62" t="s">
        <v>27</v>
      </c>
      <c r="H14" s="63" t="s">
        <v>28</v>
      </c>
      <c r="I14" s="7" t="s">
        <v>60</v>
      </c>
      <c r="J14" s="7" t="s">
        <v>61</v>
      </c>
      <c r="K14" s="8" t="s">
        <v>62</v>
      </c>
      <c r="L14" t="s">
        <v>3</v>
      </c>
      <c r="M14" t="s">
        <v>4</v>
      </c>
      <c r="N14" t="s">
        <v>5</v>
      </c>
      <c r="O14" t="s">
        <v>6</v>
      </c>
      <c r="Q14" s="151" t="s">
        <v>100</v>
      </c>
      <c r="R14" s="152"/>
      <c r="S14" s="152"/>
      <c r="T14" s="152"/>
      <c r="U14" s="152"/>
      <c r="V14" s="152"/>
      <c r="W14" s="152"/>
      <c r="X14" s="152"/>
      <c r="Y14" s="152"/>
      <c r="Z14" s="152"/>
    </row>
    <row r="15" spans="1:33" ht="17" customHeight="1" x14ac:dyDescent="0.15">
      <c r="C15" s="3" t="s">
        <v>7</v>
      </c>
      <c r="D15" s="25">
        <v>0</v>
      </c>
      <c r="E15" s="73" t="s">
        <v>104</v>
      </c>
      <c r="F15" s="74" t="s">
        <v>105</v>
      </c>
      <c r="G15" s="74" t="s">
        <v>106</v>
      </c>
      <c r="H15" s="75" t="s">
        <v>129</v>
      </c>
      <c r="I15" s="74"/>
      <c r="J15" s="74"/>
      <c r="K15" s="75"/>
      <c r="L15" s="4">
        <f>Start_date+Start_time</f>
        <v>45213.333333333336</v>
      </c>
      <c r="M15" s="4">
        <f>L15+"1:00"</f>
        <v>45213.375</v>
      </c>
      <c r="N15" s="5">
        <f>IF(ISBLANK(Distance),"",Open Control_1)</f>
        <v>45213.333333333336</v>
      </c>
      <c r="O15" s="5">
        <f>IF(ISBLANK(Distance),"",Close Control_1)</f>
        <v>45213.375</v>
      </c>
      <c r="Q15" s="151" t="s">
        <v>102</v>
      </c>
      <c r="R15" s="152"/>
      <c r="S15" s="152"/>
      <c r="T15" s="152"/>
      <c r="U15" s="152"/>
      <c r="V15" s="152"/>
      <c r="W15" s="152"/>
      <c r="X15" s="152"/>
      <c r="Y15" s="152"/>
      <c r="Z15" s="152"/>
    </row>
    <row r="16" spans="1:33" ht="17" customHeight="1" x14ac:dyDescent="0.15">
      <c r="B16" s="80"/>
      <c r="C16" s="3" t="s">
        <v>8</v>
      </c>
      <c r="D16" s="25">
        <v>30.1</v>
      </c>
      <c r="E16" s="73" t="s">
        <v>107</v>
      </c>
      <c r="F16" s="74" t="s">
        <v>105</v>
      </c>
      <c r="G16" s="74" t="s">
        <v>109</v>
      </c>
      <c r="H16" s="75" t="s">
        <v>110</v>
      </c>
      <c r="I16" s="74"/>
      <c r="J16" s="74"/>
      <c r="K16" s="75"/>
      <c r="L16">
        <f>IF(ISBLANK(Distance),"",IF(Distance&gt;1000,(Distance-1000)/26+33.0847,(IF(Distance&gt;600,(Distance-600)/28+18.799,(IF(Distance&gt;400,(Distance-400)/30+12.1324,(IF(Distance&gt;200,(Distance-200)/32+5.8824,Distance/34))))))))</f>
        <v>0.8852941176470589</v>
      </c>
      <c r="M16">
        <f>IF(ISBLANK(Distance),"",IF(Distance&gt;=brevet,D16200IF(brevet&gt;1200,(brevet-1200)*75/1000+90,Max_time),IF(Distance&gt;1200,(Distance-1200)*75/1000+90,IF(Distance&gt;1000,(Distance-1000)/(1000/75)+75,IF(Distance&gt;600,(Distance-600)/(400/35)+40,IF(Distance&lt;=60,(Distance/20+1),Distance/15))))))</f>
        <v>2.5049999999999999</v>
      </c>
      <c r="N16" s="5">
        <f>IF(ISBLANK(Distance),"",Open_time Control_1+(INT(Open)&amp;":"&amp;IF(ROUND(((Open-INT(Open))*60),0)&lt;10,0,"")&amp;ROUND(((Open-INT(Open))*60),0)))</f>
        <v>45213.370138888895</v>
      </c>
      <c r="O16" s="5">
        <f>IF(ISBLANK(Distance),"",Open_time Control_1+(INT(Close)&amp;":"&amp;IF(ROUND(((Close-INT(Close))*60),0)&lt;10,0,"")&amp;ROUND(((Close-INT(Close))*60),0)))</f>
        <v>45213.4375</v>
      </c>
      <c r="Q16" s="151" t="s">
        <v>101</v>
      </c>
      <c r="R16" s="152"/>
      <c r="S16" s="152"/>
      <c r="T16" s="152"/>
      <c r="U16" s="152"/>
      <c r="V16" s="152"/>
      <c r="W16" s="152"/>
      <c r="X16" s="152"/>
      <c r="Y16" s="152"/>
      <c r="Z16" s="152"/>
    </row>
    <row r="17" spans="2:26" ht="17" customHeight="1" x14ac:dyDescent="0.15">
      <c r="B17" s="80"/>
      <c r="C17" s="3" t="s">
        <v>9</v>
      </c>
      <c r="D17" s="25">
        <v>47.6</v>
      </c>
      <c r="E17" s="73" t="s">
        <v>111</v>
      </c>
      <c r="F17" s="74" t="s">
        <v>105</v>
      </c>
      <c r="G17" s="74" t="s">
        <v>130</v>
      </c>
      <c r="H17" s="75" t="s">
        <v>115</v>
      </c>
      <c r="I17" s="74"/>
      <c r="J17" s="74"/>
      <c r="K17" s="75"/>
      <c r="L17">
        <f>IF(ISBLANK(Distance),"",IF(Distance&gt;1000,(Distance-1000)/26+33.0847,(IF(Distance&gt;600,(Distance-600)/28+18.799,(IF(Distance&gt;400,(Distance-400)/30+12.1324,(IF(Distance&gt;200,(Distance-200)/32+5.8824,Distance/34))))))))</f>
        <v>1.4000000000000001</v>
      </c>
      <c r="M17">
        <f t="shared" ref="M17:M24" si="0">IF(ISBLANK(Distance),"",IF(Distance&gt;=brevet,IF(brevet&gt;1200,(brevet-1200)*75/1000+90,Max_time),IF(Distance&gt;1200,(Distance-1200)*75/1000+90,IF(Distance&gt;1000,(Distance-1000)/(1000/75)+75,IF(Distance&gt;600,(Distance-600)/(400/35)+40,IF(Distance&lt;=60,(Distance/20+1),Distance/15))))))</f>
        <v>3.38</v>
      </c>
      <c r="N17" s="5">
        <f>IF(ISBLANK(Distance),"",Open_time Control_1+(INT(Open)&amp;":"&amp;IF(ROUND(((Open-INT(Open))*60),0)&lt;10,0,"")&amp;ROUND(((Open-INT(Open))*60),0)))</f>
        <v>45213.39166666667</v>
      </c>
      <c r="O17" s="5">
        <f>IF(ISBLANK(Distance),"",Open_time Control_1+(INT(Close)&amp;":"&amp;IF(ROUND(((Close-INT(Close))*60),0)&lt;10,0,"")&amp;ROUND(((Close-INT(Close))*60),0)))</f>
        <v>45213.474305555559</v>
      </c>
      <c r="Q17" s="151" t="s">
        <v>69</v>
      </c>
      <c r="R17" s="152"/>
      <c r="S17" s="152"/>
      <c r="T17" s="152"/>
      <c r="U17" s="152"/>
      <c r="V17" s="152"/>
      <c r="W17" s="152"/>
      <c r="X17" s="152"/>
      <c r="Y17" s="152"/>
      <c r="Z17" s="152"/>
    </row>
    <row r="18" spans="2:26" ht="17" customHeight="1" x14ac:dyDescent="0.15">
      <c r="B18" s="80"/>
      <c r="C18" s="3" t="s">
        <v>10</v>
      </c>
      <c r="D18" s="25">
        <v>58.7</v>
      </c>
      <c r="E18" s="73" t="s">
        <v>112</v>
      </c>
      <c r="F18" s="74" t="s">
        <v>108</v>
      </c>
      <c r="G18" s="74" t="s">
        <v>113</v>
      </c>
      <c r="H18" s="75" t="s">
        <v>114</v>
      </c>
      <c r="I18" s="74" t="s">
        <v>135</v>
      </c>
      <c r="J18" s="74" t="s">
        <v>134</v>
      </c>
      <c r="K18" s="75" t="s">
        <v>136</v>
      </c>
      <c r="L18">
        <f t="shared" ref="L18:L24" si="1">IF(ISBLANK(Distance),"",IF(Distance&gt;1000,(Distance-1000)/26+33.0847,(IF(Distance&gt;600,(Distance-600)/28+18.799,(IF(Distance&gt;400,(Distance-400)/30+12.1324,(IF(Distance&gt;200,(Distance-200)/32+5.8824,Distance/34))))))))</f>
        <v>1.7264705882352942</v>
      </c>
      <c r="M18">
        <f t="shared" si="0"/>
        <v>3.9350000000000001</v>
      </c>
      <c r="N18" s="5">
        <f>IF(ISBLANK(Distance),"",Open_time Control_1+(INT(Open)&amp;":"&amp;IF(ROUND(((Open-INT(Open))*60),0)&lt;10,0,"")&amp;ROUND(((Open-INT(Open))*60),0)))</f>
        <v>45213.405555555561</v>
      </c>
      <c r="O18" s="5">
        <f>IF(ISBLANK(Distance),"",Open_time Control_1+(INT(Close)&amp;":"&amp;IF(ROUND(((Close-INT(Close))*60),0)&lt;10,0,"")&amp;ROUND(((Close-INT(Close))*60),0)))</f>
        <v>45213.497222222228</v>
      </c>
    </row>
    <row r="19" spans="2:26" ht="17" customHeight="1" x14ac:dyDescent="0.15">
      <c r="B19" s="80"/>
      <c r="C19" s="3" t="s">
        <v>11</v>
      </c>
      <c r="D19" s="25">
        <v>67.400000000000006</v>
      </c>
      <c r="E19" s="73" t="s">
        <v>116</v>
      </c>
      <c r="F19" s="74" t="s">
        <v>105</v>
      </c>
      <c r="G19" s="74" t="s">
        <v>117</v>
      </c>
      <c r="H19" s="75" t="s">
        <v>118</v>
      </c>
      <c r="I19" s="74"/>
      <c r="J19" s="74"/>
      <c r="K19" s="75"/>
      <c r="L19">
        <f t="shared" si="1"/>
        <v>1.9823529411764707</v>
      </c>
      <c r="M19">
        <f t="shared" si="0"/>
        <v>4.4933333333333341</v>
      </c>
      <c r="N19" s="5">
        <f>IF(ISBLANK(Distance),"",Open_time Control_1+(INT(Open)&amp;":"&amp;IF(ROUND(((Open-INT(Open))*60),0)&lt;10,0,"")&amp;ROUND(((Open-INT(Open))*60),0)))</f>
        <v>45213.415972222225</v>
      </c>
      <c r="O19" s="5">
        <f>IF(ISBLANK(Distance),"",Open_time Control_1+(INT(Close)&amp;":"&amp;IF(ROUND(((Close-INT(Close))*60),0)&lt;10,0,"")&amp;ROUND(((Close-INT(Close))*60),0)))</f>
        <v>45213.520833333336</v>
      </c>
      <c r="Q19" s="85"/>
    </row>
    <row r="20" spans="2:26" ht="17" customHeight="1" x14ac:dyDescent="0.15">
      <c r="B20" s="80"/>
      <c r="C20" s="3" t="s">
        <v>12</v>
      </c>
      <c r="D20" s="25">
        <v>113.4</v>
      </c>
      <c r="E20" s="73" t="s">
        <v>120</v>
      </c>
      <c r="F20" s="74" t="s">
        <v>105</v>
      </c>
      <c r="G20" s="74" t="s">
        <v>121</v>
      </c>
      <c r="H20" s="75" t="s">
        <v>122</v>
      </c>
      <c r="I20" s="74"/>
      <c r="J20" s="74"/>
      <c r="K20" s="75"/>
      <c r="L20">
        <f t="shared" si="1"/>
        <v>3.335294117647059</v>
      </c>
      <c r="M20">
        <f t="shared" si="0"/>
        <v>7.5600000000000005</v>
      </c>
      <c r="N20" s="5">
        <f>IF(ISBLANK(Distance),"",Open_time Control_1+(INT(Open)&amp;":"&amp;IF(ROUND(((Open-INT(Open))*60),0)&lt;10,0,"")&amp;ROUND(((Open-INT(Open))*60),0)))</f>
        <v>45213.472222222226</v>
      </c>
      <c r="O20" s="5">
        <f>IF(ISBLANK(Distance),"",Open_time Control_1+(INT(Close)&amp;":"&amp;IF(ROUND(((Close-INT(Close))*60),0)&lt;10,0,"")&amp;ROUND(((Close-INT(Close))*60),0)))</f>
        <v>45213.648611111115</v>
      </c>
    </row>
    <row r="21" spans="2:26" ht="17" customHeight="1" x14ac:dyDescent="0.15">
      <c r="B21" s="80"/>
      <c r="C21" s="3" t="s">
        <v>13</v>
      </c>
      <c r="D21" s="25">
        <v>145.1</v>
      </c>
      <c r="E21" s="73" t="s">
        <v>131</v>
      </c>
      <c r="F21" s="74" t="s">
        <v>128</v>
      </c>
      <c r="G21" s="74" t="s">
        <v>133</v>
      </c>
      <c r="H21" s="75" t="s">
        <v>132</v>
      </c>
      <c r="I21" s="74"/>
      <c r="J21" s="74"/>
      <c r="K21" s="75"/>
      <c r="L21">
        <f t="shared" si="1"/>
        <v>4.2676470588235293</v>
      </c>
      <c r="M21">
        <f t="shared" si="0"/>
        <v>9.6733333333333338</v>
      </c>
      <c r="N21" s="5">
        <f>IF(ISBLANK(Distance),"",Open_time Control_1+(INT(Open)&amp;":"&amp;IF(ROUND(((Open-INT(Open))*60),0)&lt;10,0,"")&amp;ROUND(((Open-INT(Open))*60),0)))</f>
        <v>45213.511111111111</v>
      </c>
      <c r="O21" s="5">
        <f>IF(ISBLANK(Distance),"",Open_time Control_1+(INT(Close)&amp;":"&amp;IF(ROUND(((Close-INT(Close))*60),0)&lt;10,0,"")&amp;ROUND(((Close-INT(Close))*60),0)))</f>
        <v>45213.736111111117</v>
      </c>
    </row>
    <row r="22" spans="2:26" ht="17" customHeight="1" x14ac:dyDescent="0.15">
      <c r="B22" s="80"/>
      <c r="C22" s="3" t="s">
        <v>14</v>
      </c>
      <c r="D22" s="25">
        <v>150.5</v>
      </c>
      <c r="E22" s="73" t="s">
        <v>123</v>
      </c>
      <c r="F22" s="74" t="s">
        <v>108</v>
      </c>
      <c r="G22" s="74" t="s">
        <v>124</v>
      </c>
      <c r="H22" s="75"/>
      <c r="I22" s="74" t="s">
        <v>137</v>
      </c>
      <c r="J22" s="74" t="s">
        <v>138</v>
      </c>
      <c r="K22" s="75" t="s">
        <v>139</v>
      </c>
      <c r="L22">
        <f t="shared" si="1"/>
        <v>4.4264705882352944</v>
      </c>
      <c r="M22">
        <f t="shared" si="0"/>
        <v>10.033333333333333</v>
      </c>
      <c r="N22" s="5">
        <f>IF(ISBLANK(Distance),"",Open_time Control_1+(INT(Open)&amp;":"&amp;IF(ROUND(((Open-INT(Open))*60),0)&lt;10,0,"")&amp;ROUND(((Open-INT(Open))*60),0)))</f>
        <v>45213.518055555556</v>
      </c>
      <c r="O22" s="5">
        <f>IF(ISBLANK(Distance),"",Open_time Control_1+(INT(Close)&amp;":"&amp;IF(ROUND(((Close-INT(Close))*60),0)&lt;10,0,"")&amp;ROUND(((Close-INT(Close))*60),0)))</f>
        <v>45213.751388888893</v>
      </c>
    </row>
    <row r="23" spans="2:26" ht="17" customHeight="1" x14ac:dyDescent="0.15">
      <c r="B23" s="80"/>
      <c r="C23" s="3" t="s">
        <v>15</v>
      </c>
      <c r="D23" s="25">
        <v>195.4</v>
      </c>
      <c r="E23" s="73" t="s">
        <v>125</v>
      </c>
      <c r="F23" s="74" t="s">
        <v>108</v>
      </c>
      <c r="G23" s="74" t="s">
        <v>126</v>
      </c>
      <c r="H23" s="75" t="s">
        <v>127</v>
      </c>
      <c r="I23" s="74" t="s">
        <v>140</v>
      </c>
      <c r="J23" s="74" t="s">
        <v>141</v>
      </c>
      <c r="K23" s="75" t="s">
        <v>142</v>
      </c>
      <c r="L23">
        <f t="shared" si="1"/>
        <v>5.7470588235294118</v>
      </c>
      <c r="M23">
        <f t="shared" si="0"/>
        <v>13.026666666666667</v>
      </c>
      <c r="N23" s="5">
        <f>IF(ISBLANK(Distance),"",Open_time Control_1+(INT(Open)&amp;":"&amp;IF(ROUND(((Open-INT(Open))*60),0)&lt;10,0,"")&amp;ROUND(((Open-INT(Open))*60),0)))</f>
        <v>45213.572916666672</v>
      </c>
      <c r="O23" s="5">
        <f>IF(ISBLANK(Distance),"",Open_time Control_1+(INT(Close)&amp;":"&amp;IF(ROUND(((Close-INT(Close))*60),0)&lt;10,0,"")&amp;ROUND(((Close-INT(Close))*60),0)))</f>
        <v>45213.876388888893</v>
      </c>
    </row>
    <row r="24" spans="2:26" ht="17" customHeight="1" thickBot="1" x14ac:dyDescent="0.2">
      <c r="B24" s="80"/>
      <c r="C24" s="3" t="s">
        <v>16</v>
      </c>
      <c r="D24" s="51">
        <v>201.3</v>
      </c>
      <c r="E24" s="76" t="s">
        <v>104</v>
      </c>
      <c r="F24" s="74" t="s">
        <v>128</v>
      </c>
      <c r="G24" s="74" t="s">
        <v>106</v>
      </c>
      <c r="H24" s="75" t="s">
        <v>129</v>
      </c>
      <c r="I24" s="74"/>
      <c r="J24" s="74"/>
      <c r="K24" s="75"/>
      <c r="L24">
        <f t="shared" si="1"/>
        <v>5.923025</v>
      </c>
      <c r="M24">
        <f t="shared" si="0"/>
        <v>13.5</v>
      </c>
      <c r="N24" s="5">
        <f>IF(ISBLANK(Distance),"",Open_time Control_1+(INT(Open)&amp;":"&amp;IF(ROUND(((Open-INT(Open))*60),0)&lt;10,0,"")&amp;ROUND(((Open-INT(Open))*60),0)))</f>
        <v>45213.579861111117</v>
      </c>
      <c r="O24" s="5">
        <f>IF(ISBLANK(Distance),"",Open_time Control_1+(INT(Close)&amp;":"&amp;IF(ROUND(((Close-INT(Close))*60),0)&lt;10,0,"")&amp;ROUND(((Close-INT(Close))*60),0)))</f>
        <v>45213.895833333336</v>
      </c>
    </row>
    <row r="25" spans="2:26" ht="7" customHeight="1" thickBot="1" x14ac:dyDescent="0.25">
      <c r="D25" s="64"/>
      <c r="E25" s="65"/>
      <c r="F25" s="66"/>
      <c r="G25" s="66"/>
      <c r="H25" s="66"/>
      <c r="I25" s="66"/>
      <c r="J25" s="66"/>
      <c r="K25" s="67"/>
      <c r="N25" s="5"/>
      <c r="O25" s="5"/>
    </row>
    <row r="26" spans="2:26" ht="14" thickBot="1" x14ac:dyDescent="0.2">
      <c r="D26" s="171" t="s">
        <v>76</v>
      </c>
      <c r="E26" s="172"/>
      <c r="F26" s="172"/>
      <c r="G26" s="172"/>
      <c r="H26" s="172"/>
      <c r="I26" s="175" t="s">
        <v>71</v>
      </c>
      <c r="J26" s="172"/>
      <c r="K26" s="173"/>
    </row>
    <row r="27" spans="2:26" ht="14" thickBot="1" x14ac:dyDescent="0.2">
      <c r="D27" s="6" t="s">
        <v>24</v>
      </c>
      <c r="E27" s="7" t="s">
        <v>25</v>
      </c>
      <c r="F27" s="62" t="s">
        <v>26</v>
      </c>
      <c r="G27" s="62" t="s">
        <v>27</v>
      </c>
      <c r="H27" s="63" t="s">
        <v>28</v>
      </c>
      <c r="I27" s="7" t="s">
        <v>60</v>
      </c>
      <c r="J27" s="7" t="s">
        <v>61</v>
      </c>
      <c r="K27" s="8" t="s">
        <v>62</v>
      </c>
      <c r="L27" t="s">
        <v>3</v>
      </c>
      <c r="M27" t="s">
        <v>4</v>
      </c>
      <c r="N27" t="s">
        <v>5</v>
      </c>
      <c r="O27" t="s">
        <v>6</v>
      </c>
    </row>
    <row r="28" spans="2:26" ht="17" customHeight="1" x14ac:dyDescent="0.15">
      <c r="D28" s="25"/>
      <c r="E28" s="73"/>
      <c r="F28" s="74"/>
      <c r="G28" s="74"/>
      <c r="H28" s="75"/>
      <c r="I28" s="74"/>
      <c r="J28" s="74"/>
      <c r="K28" s="75"/>
      <c r="L28" t="str">
        <f>IF(ISBLANK(D28),"",IF(D28&gt;1000,(D28-1000)/26+33.0847,(IF(D28&gt;600,(D28-600)/28+18.799,(IF(D28&gt;400,(D28-400)/30+12.1324,(IF(D28&gt;200,(D28-200)/32+5.8824,D28/34))))))))</f>
        <v/>
      </c>
      <c r="M28" t="str">
        <f t="shared" ref="M28:M37" si="2">IF(ISBLANK(D28),"",IF((D28=0),1,IF(D28&gt;=brevet,IF(brevet&gt;1200,(brevet-1200)*75/1000+90,Max_time),IF(D28&gt;1200,(D28-1200)*75/1000+90,IF(D28&gt;1000,(D28-1000)/(1000/75)+75,IF(D28&gt;600,(D28-600)/(400/35)+40,IF(D28&lt;=60,D28/20+1,D28/15)))))))</f>
        <v/>
      </c>
      <c r="N28" s="5" t="str">
        <f>IF(ISBLANK(D28),"",Open_time Control_1+(INT(L28)&amp;":"&amp;IF(ROUND(((L28-INT(L28))*60),0)&lt;10,0,"")&amp;ROUND(((L28-INT(L28))*60),0)))</f>
        <v/>
      </c>
      <c r="O28" s="5" t="str">
        <f>IF(ISBLANK(D28),"",Open_time Control_1+(INT(M28)&amp;":"&amp;IF(ROUND(((M28-INT(M28))*60),0)&lt;10,0,"")&amp;ROUND(((M28-INT(M28))*60),0)))</f>
        <v/>
      </c>
    </row>
    <row r="29" spans="2:26" ht="17" customHeight="1" x14ac:dyDescent="0.15">
      <c r="D29" s="25"/>
      <c r="E29" s="73"/>
      <c r="F29" s="74"/>
      <c r="G29" s="74"/>
      <c r="H29" s="75"/>
      <c r="I29" s="74"/>
      <c r="J29" s="74"/>
      <c r="K29" s="75"/>
      <c r="L29" t="str">
        <f t="shared" ref="L29:L37" si="3">IF(ISBLANK(D29),"",IF(D29&gt;1000,(D29-1000)/26+33.0847,(IF(D29&gt;600,(D29-600)/28+18.799,(IF(D29&gt;400,(D29-400)/30+12.1324,(IF(D29&gt;200,(D29-200)/32+5.8824,D29/34))))))))</f>
        <v/>
      </c>
      <c r="M29" t="str">
        <f t="shared" si="2"/>
        <v/>
      </c>
      <c r="N29" s="5" t="str">
        <f>IF(ISBLANK(D29),"",Open_time Control_1+(INT(L29)&amp;":"&amp;IF(ROUND(((L29-INT(L29))*60),0)&lt;10,0,"")&amp;ROUND(((L29-INT(L29))*60),0)))</f>
        <v/>
      </c>
      <c r="O29" s="5" t="str">
        <f>IF(ISBLANK(D29),"",Open_time Control_1+(INT(M29)&amp;":"&amp;IF(ROUND(((M29-INT(M29))*60),0)&lt;10,0,"")&amp;ROUND(((M29-INT(M29))*60),0)))</f>
        <v/>
      </c>
    </row>
    <row r="30" spans="2:26" ht="17" customHeight="1" x14ac:dyDescent="0.15">
      <c r="D30" s="25"/>
      <c r="E30" s="73"/>
      <c r="F30" s="74"/>
      <c r="G30" s="74"/>
      <c r="H30" s="75"/>
      <c r="I30" s="74"/>
      <c r="J30" s="74"/>
      <c r="K30" s="75"/>
      <c r="L30" t="str">
        <f t="shared" si="3"/>
        <v/>
      </c>
      <c r="M30" t="str">
        <f t="shared" si="2"/>
        <v/>
      </c>
      <c r="N30" s="5" t="str">
        <f>IF(ISBLANK(D30),"",Open_time Control_1+(INT(L30)&amp;":"&amp;IF(ROUND(((L30-INT(L30))*60),0)&lt;10,0,"")&amp;ROUND(((L30-INT(L30))*60),0)))</f>
        <v/>
      </c>
      <c r="O30" s="5" t="str">
        <f>IF(ISBLANK(D30),"",Open_time Control_1+(INT(M30)&amp;":"&amp;IF(ROUND(((M30-INT(M30))*60),0)&lt;10,0,"")&amp;ROUND(((M30-INT(M30))*60),0)))</f>
        <v/>
      </c>
    </row>
    <row r="31" spans="2:26" ht="17" customHeight="1" x14ac:dyDescent="0.15">
      <c r="D31" s="25"/>
      <c r="E31" s="73"/>
      <c r="F31" s="74"/>
      <c r="G31" s="74"/>
      <c r="H31" s="75"/>
      <c r="I31" s="74"/>
      <c r="J31" s="74"/>
      <c r="K31" s="75"/>
      <c r="L31" t="str">
        <f t="shared" si="3"/>
        <v/>
      </c>
      <c r="M31" t="str">
        <f t="shared" si="2"/>
        <v/>
      </c>
      <c r="N31" s="5" t="str">
        <f>IF(ISBLANK(D31),"",Open_time Control_1+(INT(L31)&amp;":"&amp;IF(ROUND(((L31-INT(L31))*60),0)&lt;10,0,"")&amp;ROUND(((L31-INT(L31))*60),0)))</f>
        <v/>
      </c>
      <c r="O31" s="5" t="str">
        <f>IF(ISBLANK(D31),"",Open_time Control_1+(INT(M31)&amp;":"&amp;IF(ROUND(((M31-INT(M31))*60),0)&lt;10,0,"")&amp;ROUND(((M31-INT(M31))*60),0)))</f>
        <v/>
      </c>
    </row>
    <row r="32" spans="2:26" ht="17" customHeight="1" x14ac:dyDescent="0.15">
      <c r="D32" s="25"/>
      <c r="E32" s="73"/>
      <c r="F32" s="74"/>
      <c r="G32" s="74"/>
      <c r="H32" s="75"/>
      <c r="I32" s="74"/>
      <c r="J32" s="74"/>
      <c r="K32" s="75"/>
      <c r="L32" t="str">
        <f t="shared" si="3"/>
        <v/>
      </c>
      <c r="M32" t="str">
        <f t="shared" si="2"/>
        <v/>
      </c>
      <c r="N32" s="5" t="str">
        <f>IF(ISBLANK(D32),"",Open_time Control_1+(INT(L32)&amp;":"&amp;IF(ROUND(((L32-INT(L32))*60),0)&lt;10,0,"")&amp;ROUND(((L32-INT(L32))*60),0)))</f>
        <v/>
      </c>
      <c r="O32" s="5" t="str">
        <f>IF(ISBLANK(D32),"",Open_time Control_1+(INT(M32)&amp;":"&amp;IF(ROUND(((M32-INT(M32))*60),0)&lt;10,0,"")&amp;ROUND(((M32-INT(M32))*60),0)))</f>
        <v/>
      </c>
    </row>
    <row r="33" spans="4:15" ht="17" customHeight="1" x14ac:dyDescent="0.15">
      <c r="D33" s="25"/>
      <c r="E33" s="73"/>
      <c r="F33" s="74"/>
      <c r="G33" s="74"/>
      <c r="H33" s="75"/>
      <c r="I33" s="74"/>
      <c r="J33" s="74"/>
      <c r="K33" s="75"/>
      <c r="L33" t="str">
        <f t="shared" si="3"/>
        <v/>
      </c>
      <c r="M33" t="str">
        <f t="shared" si="2"/>
        <v/>
      </c>
      <c r="N33" s="5" t="str">
        <f>IF(ISBLANK(D33),"",Open_time Control_1+(INT(L33)&amp;":"&amp;IF(ROUND(((L33-INT(L33))*60),0)&lt;10,0,"")&amp;ROUND(((L33-INT(L33))*60),0)))</f>
        <v/>
      </c>
      <c r="O33" s="5" t="str">
        <f>IF(ISBLANK(D33),"",Open_time Control_1+(INT(M33)&amp;":"&amp;IF(ROUND(((M33-INT(M33))*60),0)&lt;10,0,"")&amp;ROUND(((M33-INT(M33))*60),0)))</f>
        <v/>
      </c>
    </row>
    <row r="34" spans="4:15" ht="17" customHeight="1" x14ac:dyDescent="0.15">
      <c r="D34" s="25"/>
      <c r="E34" s="73"/>
      <c r="F34" s="74"/>
      <c r="G34" s="74"/>
      <c r="H34" s="75"/>
      <c r="I34" s="74"/>
      <c r="J34" s="74"/>
      <c r="K34" s="75"/>
      <c r="L34" t="str">
        <f t="shared" si="3"/>
        <v/>
      </c>
      <c r="M34" t="str">
        <f t="shared" si="2"/>
        <v/>
      </c>
      <c r="N34" s="5" t="str">
        <f>IF(ISBLANK(D34),"",Open_time Control_1+(INT(L34)&amp;":"&amp;IF(ROUND(((L34-INT(L34))*60),0)&lt;10,0,"")&amp;ROUND(((L34-INT(L34))*60),0)))</f>
        <v/>
      </c>
      <c r="O34" s="5" t="str">
        <f>IF(ISBLANK(D34),"",Open_time Control_1+(INT(M34)&amp;":"&amp;IF(ROUND(((M34-INT(M34))*60),0)&lt;10,0,"")&amp;ROUND(((M34-INT(M34))*60),0)))</f>
        <v/>
      </c>
    </row>
    <row r="35" spans="4:15" ht="17" customHeight="1" x14ac:dyDescent="0.15">
      <c r="D35" s="25"/>
      <c r="E35" s="73"/>
      <c r="F35" s="74"/>
      <c r="G35" s="74"/>
      <c r="H35" s="75"/>
      <c r="I35" s="74"/>
      <c r="J35" s="74"/>
      <c r="K35" s="75"/>
      <c r="L35" t="str">
        <f t="shared" si="3"/>
        <v/>
      </c>
      <c r="M35" t="str">
        <f t="shared" si="2"/>
        <v/>
      </c>
      <c r="N35" s="5" t="str">
        <f>IF(ISBLANK(D35),"",Open_time Control_1+(INT(L35)&amp;":"&amp;IF(ROUND(((L35-INT(L35))*60),0)&lt;10,0,"")&amp;ROUND(((L35-INT(L35))*60),0)))</f>
        <v/>
      </c>
      <c r="O35" s="5" t="str">
        <f>IF(ISBLANK(D35),"",Open_time Control_1+(INT(M35)&amp;":"&amp;IF(ROUND(((M35-INT(M35))*60),0)&lt;10,0,"")&amp;ROUND(((M35-INT(M35))*60),0)))</f>
        <v/>
      </c>
    </row>
    <row r="36" spans="4:15" ht="17" customHeight="1" x14ac:dyDescent="0.15">
      <c r="D36" s="25"/>
      <c r="E36" s="73"/>
      <c r="F36" s="74"/>
      <c r="G36" s="74"/>
      <c r="H36" s="75"/>
      <c r="I36" s="74"/>
      <c r="J36" s="74"/>
      <c r="K36" s="75"/>
      <c r="L36" t="str">
        <f t="shared" si="3"/>
        <v/>
      </c>
      <c r="M36" t="str">
        <f t="shared" si="2"/>
        <v/>
      </c>
      <c r="N36" s="5" t="str">
        <f>IF(ISBLANK(D36),"",Open_time Control_1+(INT(L36)&amp;":"&amp;IF(ROUND(((L36-INT(L36))*60),0)&lt;10,0,"")&amp;ROUND(((L36-INT(L36))*60),0)))</f>
        <v/>
      </c>
      <c r="O36" s="5" t="str">
        <f>IF(ISBLANK(D36),"",Open_time Control_1+(INT(M36)&amp;":"&amp;IF(ROUND(((M36-INT(M36))*60),0)&lt;10,0,"")&amp;ROUND(((M36-INT(M36))*60),0)))</f>
        <v/>
      </c>
    </row>
    <row r="37" spans="4:15" ht="17" customHeight="1" thickBot="1" x14ac:dyDescent="0.2">
      <c r="D37" s="51"/>
      <c r="E37" s="76"/>
      <c r="F37" s="77"/>
      <c r="G37" s="77"/>
      <c r="H37" s="78"/>
      <c r="I37" s="77"/>
      <c r="J37" s="77"/>
      <c r="K37" s="78"/>
      <c r="L37" t="str">
        <f t="shared" si="3"/>
        <v/>
      </c>
      <c r="M37" t="str">
        <f t="shared" si="2"/>
        <v/>
      </c>
      <c r="N37" s="5" t="str">
        <f>IF(ISBLANK(D37),"",Open_time Control_1+(INT(L37)&amp;":"&amp;IF(ROUND(((L37-INT(L37))*60),0)&lt;10,0,"")&amp;ROUND(((L37-INT(L37))*60),0)))</f>
        <v/>
      </c>
      <c r="O37" s="5" t="str">
        <f>IF(ISBLANK(D37),"",Open_time Control_1+(INT(M37)&amp;":"&amp;IF(ROUND(((M37-INT(M37))*60),0)&lt;10,0,"")&amp;ROUND(((M37-INT(M37))*60),0)))</f>
        <v/>
      </c>
    </row>
    <row r="38" spans="4:15" ht="7" customHeight="1" thickBot="1" x14ac:dyDescent="0.25">
      <c r="D38" s="64"/>
      <c r="E38" s="65"/>
      <c r="F38" s="66"/>
      <c r="G38" s="66"/>
      <c r="H38" s="66"/>
      <c r="I38" s="66"/>
      <c r="J38" s="66"/>
      <c r="K38" s="67"/>
      <c r="N38" s="5"/>
      <c r="O38" s="5"/>
    </row>
    <row r="39" spans="4:15" ht="14" thickBot="1" x14ac:dyDescent="0.2">
      <c r="D39" s="171" t="s">
        <v>78</v>
      </c>
      <c r="E39" s="172"/>
      <c r="F39" s="172"/>
      <c r="G39" s="172"/>
      <c r="H39" s="172"/>
      <c r="I39" s="171" t="s">
        <v>77</v>
      </c>
      <c r="J39" s="172"/>
      <c r="K39" s="173"/>
    </row>
    <row r="40" spans="4:15" ht="14" thickBot="1" x14ac:dyDescent="0.2">
      <c r="D40" s="6" t="s">
        <v>24</v>
      </c>
      <c r="E40" s="7" t="s">
        <v>25</v>
      </c>
      <c r="F40" s="62" t="s">
        <v>26</v>
      </c>
      <c r="G40" s="62" t="s">
        <v>27</v>
      </c>
      <c r="H40" s="86" t="s">
        <v>28</v>
      </c>
      <c r="I40" s="7" t="s">
        <v>60</v>
      </c>
      <c r="J40" s="7" t="s">
        <v>61</v>
      </c>
      <c r="K40" s="8" t="s">
        <v>62</v>
      </c>
      <c r="L40" t="s">
        <v>3</v>
      </c>
      <c r="M40" t="s">
        <v>4</v>
      </c>
      <c r="N40" t="s">
        <v>5</v>
      </c>
      <c r="O40" t="s">
        <v>6</v>
      </c>
    </row>
    <row r="41" spans="4:15" ht="17" customHeight="1" x14ac:dyDescent="0.15">
      <c r="D41" s="25"/>
      <c r="E41" s="73"/>
      <c r="F41" s="74"/>
      <c r="G41" s="74"/>
      <c r="H41" s="75"/>
      <c r="I41" s="74"/>
      <c r="J41" s="74"/>
      <c r="K41" s="75"/>
      <c r="L41" t="str">
        <f>IF(ISBLANK(D41),"",IF(D41&gt;1000,(D41-1000)/26+33.0847,(IF(D41&gt;600,(D41-600)/28+18.799,(IF(D41&gt;400,(D41-400)/30+12.1324,(IF(D41&gt;200,(D41-200)/32+5.8824,D41/34))))))))</f>
        <v/>
      </c>
      <c r="M41" t="str">
        <f t="shared" ref="M41:M50" si="4">IF(ISBLANK(D41),"",IF((D41=0),1,IF(D41&gt;=brevet,IF(brevet&gt;1200,(brevet-1200)*75/1000+90,Max_time),IF(D41&gt;1200,(D41-1200)*75/1000+90,IF(D41&gt;1000,(D41-1000)/(1000/75)+75,IF(D41&gt;600,(D41-600)/(400/35)+40,IF(D41&lt;=60,D41/20+1,D41/15)))))))</f>
        <v/>
      </c>
      <c r="N41" s="5" t="str">
        <f>IF(ISBLANK(D41),"",Open_time Control_1+(INT(L41)&amp;":"&amp;IF(ROUND(((L41-INT(L41))*60),0)&lt;10,0,"")&amp;ROUND(((L41-INT(L41))*60),0)))</f>
        <v/>
      </c>
      <c r="O41" s="5" t="str">
        <f>IF(ISBLANK(D41),"",Open_time Control_1+(INT(M41)&amp;":"&amp;IF(ROUND(((M41-INT(M41))*60),0)&lt;10,0,"")&amp;ROUND(((M41-INT(M41))*60),0)))</f>
        <v/>
      </c>
    </row>
    <row r="42" spans="4:15" ht="17" customHeight="1" x14ac:dyDescent="0.15">
      <c r="D42" s="25"/>
      <c r="E42" s="73"/>
      <c r="F42" s="74"/>
      <c r="G42" s="74"/>
      <c r="H42" s="75"/>
      <c r="I42" s="74"/>
      <c r="J42" s="74"/>
      <c r="K42" s="75"/>
      <c r="L42" t="str">
        <f t="shared" ref="L42:L50" si="5">IF(ISBLANK(D42),"",IF(D42&gt;1000,(D42-1000)/26+33.0847,(IF(D42&gt;600,(D42-600)/28+18.799,(IF(D42&gt;400,(D42-400)/30+12.1324,(IF(D42&gt;200,(D42-200)/32+5.8824,D42/34))))))))</f>
        <v/>
      </c>
      <c r="M42" t="str">
        <f t="shared" si="4"/>
        <v/>
      </c>
      <c r="N42" s="5" t="str">
        <f>IF(ISBLANK(D42),"",Open_time Control_1+(INT(L42)&amp;":"&amp;IF(ROUND(((L42-INT(L42))*60),0)&lt;10,0,"")&amp;ROUND(((L42-INT(L42))*60),0)))</f>
        <v/>
      </c>
      <c r="O42" s="5" t="str">
        <f>IF(ISBLANK(D42),"",Open_time Control_1+(INT(M42)&amp;":"&amp;IF(ROUND(((M42-INT(M42))*60),0)&lt;10,0,"")&amp;ROUND(((M42-INT(M42))*60),0)))</f>
        <v/>
      </c>
    </row>
    <row r="43" spans="4:15" ht="17" customHeight="1" x14ac:dyDescent="0.15">
      <c r="D43" s="25"/>
      <c r="E43" s="73"/>
      <c r="F43" s="74"/>
      <c r="G43" s="74"/>
      <c r="H43" s="75"/>
      <c r="I43" s="74"/>
      <c r="J43" s="74"/>
      <c r="K43" s="75"/>
      <c r="L43" t="str">
        <f t="shared" si="5"/>
        <v/>
      </c>
      <c r="M43" t="str">
        <f t="shared" si="4"/>
        <v/>
      </c>
      <c r="N43" s="5" t="str">
        <f>IF(ISBLANK(D43),"",Open_time Control_1+(INT(L43)&amp;":"&amp;IF(ROUND(((L43-INT(L43))*60),0)&lt;10,0,"")&amp;ROUND(((L43-INT(L43))*60),0)))</f>
        <v/>
      </c>
      <c r="O43" s="5" t="str">
        <f>IF(ISBLANK(D43),"",Open_time Control_1+(INT(M43)&amp;":"&amp;IF(ROUND(((M43-INT(M43))*60),0)&lt;10,0,"")&amp;ROUND(((M43-INT(M43))*60),0)))</f>
        <v/>
      </c>
    </row>
    <row r="44" spans="4:15" ht="17" customHeight="1" x14ac:dyDescent="0.15">
      <c r="D44" s="25"/>
      <c r="E44" s="73"/>
      <c r="F44" s="74"/>
      <c r="G44" s="74"/>
      <c r="H44" s="75"/>
      <c r="I44" s="74"/>
      <c r="J44" s="74"/>
      <c r="K44" s="75"/>
      <c r="L44" t="str">
        <f t="shared" si="5"/>
        <v/>
      </c>
      <c r="M44" t="str">
        <f t="shared" si="4"/>
        <v/>
      </c>
      <c r="N44" s="5" t="str">
        <f>IF(ISBLANK(D44),"",Open_time Control_1+(INT(L44)&amp;":"&amp;IF(ROUND(((L44-INT(L44))*60),0)&lt;10,0,"")&amp;ROUND(((L44-INT(L44))*60),0)))</f>
        <v/>
      </c>
      <c r="O44" s="5" t="str">
        <f>IF(ISBLANK(D44),"",Open_time Control_1+(INT(M44)&amp;":"&amp;IF(ROUND(((M44-INT(M44))*60),0)&lt;10,0,"")&amp;ROUND(((M44-INT(M44))*60),0)))</f>
        <v/>
      </c>
    </row>
    <row r="45" spans="4:15" ht="17" customHeight="1" x14ac:dyDescent="0.15">
      <c r="D45" s="25"/>
      <c r="E45" s="73"/>
      <c r="F45" s="74"/>
      <c r="G45" s="74"/>
      <c r="H45" s="75"/>
      <c r="I45" s="74"/>
      <c r="J45" s="74"/>
      <c r="K45" s="75"/>
      <c r="L45" t="str">
        <f t="shared" si="5"/>
        <v/>
      </c>
      <c r="M45" t="str">
        <f t="shared" si="4"/>
        <v/>
      </c>
      <c r="N45" s="5" t="str">
        <f>IF(ISBLANK(D45),"",Open_time Control_1+(INT(L45)&amp;":"&amp;IF(ROUND(((L45-INT(L45))*60),0)&lt;10,0,"")&amp;ROUND(((L45-INT(L45))*60),0)))</f>
        <v/>
      </c>
      <c r="O45" s="5" t="str">
        <f>IF(ISBLANK(D45),"",Open_time Control_1+(INT(M45)&amp;":"&amp;IF(ROUND(((M45-INT(M45))*60),0)&lt;10,0,"")&amp;ROUND(((M45-INT(M45))*60),0)))</f>
        <v/>
      </c>
    </row>
    <row r="46" spans="4:15" ht="17" customHeight="1" x14ac:dyDescent="0.15">
      <c r="D46" s="25"/>
      <c r="E46" s="73"/>
      <c r="F46" s="74"/>
      <c r="G46" s="74"/>
      <c r="H46" s="75"/>
      <c r="I46" s="74"/>
      <c r="J46" s="74"/>
      <c r="K46" s="75"/>
      <c r="L46" t="str">
        <f t="shared" si="5"/>
        <v/>
      </c>
      <c r="M46" t="str">
        <f t="shared" si="4"/>
        <v/>
      </c>
      <c r="N46" s="5" t="str">
        <f>IF(ISBLANK(D46),"",Open_time Control_1+(INT(L46)&amp;":"&amp;IF(ROUND(((L46-INT(L46))*60),0)&lt;10,0,"")&amp;ROUND(((L46-INT(L46))*60),0)))</f>
        <v/>
      </c>
      <c r="O46" s="5" t="str">
        <f>IF(ISBLANK(D46),"",Open_time Control_1+(INT(M46)&amp;":"&amp;IF(ROUND(((M46-INT(M46))*60),0)&lt;10,0,"")&amp;ROUND(((M46-INT(M46))*60),0)))</f>
        <v/>
      </c>
    </row>
    <row r="47" spans="4:15" ht="17" customHeight="1" x14ac:dyDescent="0.15">
      <c r="D47" s="25"/>
      <c r="E47" s="73"/>
      <c r="F47" s="74"/>
      <c r="G47" s="74"/>
      <c r="H47" s="75"/>
      <c r="I47" s="74"/>
      <c r="J47" s="74"/>
      <c r="K47" s="75"/>
      <c r="L47" t="str">
        <f t="shared" si="5"/>
        <v/>
      </c>
      <c r="M47" t="str">
        <f t="shared" si="4"/>
        <v/>
      </c>
      <c r="N47" s="5" t="str">
        <f>IF(ISBLANK(D47),"",Open_time Control_1+(INT(L47)&amp;":"&amp;IF(ROUND(((L47-INT(L47))*60),0)&lt;10,0,"")&amp;ROUND(((L47-INT(L47))*60),0)))</f>
        <v/>
      </c>
      <c r="O47" s="5" t="str">
        <f>IF(ISBLANK(D47),"",Open_time Control_1+(INT(M47)&amp;":"&amp;IF(ROUND(((M47-INT(M47))*60),0)&lt;10,0,"")&amp;ROUND(((M47-INT(M47))*60),0)))</f>
        <v/>
      </c>
    </row>
    <row r="48" spans="4:15" ht="17" customHeight="1" x14ac:dyDescent="0.15">
      <c r="D48" s="25"/>
      <c r="E48" s="73"/>
      <c r="F48" s="74"/>
      <c r="G48" s="74"/>
      <c r="H48" s="75"/>
      <c r="I48" s="74"/>
      <c r="J48" s="74"/>
      <c r="K48" s="75"/>
      <c r="L48" t="str">
        <f t="shared" si="5"/>
        <v/>
      </c>
      <c r="M48" t="str">
        <f t="shared" si="4"/>
        <v/>
      </c>
      <c r="N48" s="5" t="str">
        <f>IF(ISBLANK(D48),"",Open_time Control_1+(INT(L48)&amp;":"&amp;IF(ROUND(((L48-INT(L48))*60),0)&lt;10,0,"")&amp;ROUND(((L48-INT(L48))*60),0)))</f>
        <v/>
      </c>
      <c r="O48" s="5" t="str">
        <f>IF(ISBLANK(D48),"",Open_time Control_1+(INT(M48)&amp;":"&amp;IF(ROUND(((M48-INT(M48))*60),0)&lt;10,0,"")&amp;ROUND(((M48-INT(M48))*60),0)))</f>
        <v/>
      </c>
    </row>
    <row r="49" spans="4:15" ht="17" customHeight="1" x14ac:dyDescent="0.15">
      <c r="D49" s="25"/>
      <c r="E49" s="73"/>
      <c r="F49" s="74"/>
      <c r="G49" s="74"/>
      <c r="H49" s="75"/>
      <c r="I49" s="74"/>
      <c r="J49" s="74"/>
      <c r="K49" s="75"/>
      <c r="L49" t="str">
        <f t="shared" si="5"/>
        <v/>
      </c>
      <c r="M49" t="str">
        <f t="shared" si="4"/>
        <v/>
      </c>
      <c r="N49" s="5" t="str">
        <f>IF(ISBLANK(D49),"",Open_time Control_1+(INT(L49)&amp;":"&amp;IF(ROUND(((L49-INT(L49))*60),0)&lt;10,0,"")&amp;ROUND(((L49-INT(L49))*60),0)))</f>
        <v/>
      </c>
      <c r="O49" s="5" t="str">
        <f>IF(ISBLANK(D49),"",Open_time Control_1+(INT(M49)&amp;":"&amp;IF(ROUND(((M49-INT(M49))*60),0)&lt;10,0,"")&amp;ROUND(((M49-INT(M49))*60),0)))</f>
        <v/>
      </c>
    </row>
    <row r="50" spans="4:15" ht="17" customHeight="1" thickBot="1" x14ac:dyDescent="0.2">
      <c r="D50" s="51"/>
      <c r="E50" s="76"/>
      <c r="F50" s="77"/>
      <c r="G50" s="77"/>
      <c r="H50" s="78"/>
      <c r="I50" s="77"/>
      <c r="J50" s="77"/>
      <c r="K50" s="78"/>
      <c r="L50" t="str">
        <f t="shared" si="5"/>
        <v/>
      </c>
      <c r="M50" t="str">
        <f t="shared" si="4"/>
        <v/>
      </c>
      <c r="N50" s="5" t="str">
        <f>IF(ISBLANK(D50),"",Open_time Control_1+(INT(L50)&amp;":"&amp;IF(ROUND(((L50-INT(L50))*60),0)&lt;10,0,"")&amp;ROUND(((L50-INT(L50))*60),0)))</f>
        <v/>
      </c>
      <c r="O50" s="5" t="str">
        <f>IF(ISBLANK(D50),"",Open_time Control_1+(INT(M50)&amp;":"&amp;IF(ROUND(((M50-INT(M50))*60),0)&lt;10,0,"")&amp;ROUND(((M50-INT(M50))*60),0)))</f>
        <v/>
      </c>
    </row>
    <row r="51" spans="4:15" ht="7" customHeight="1" thickBot="1" x14ac:dyDescent="0.25">
      <c r="D51" s="64"/>
      <c r="E51" s="65"/>
      <c r="F51" s="66"/>
      <c r="G51" s="66"/>
      <c r="H51" s="66"/>
      <c r="I51" s="66"/>
      <c r="J51" s="66"/>
      <c r="K51" s="67"/>
      <c r="N51" s="5"/>
      <c r="O51" s="5"/>
    </row>
    <row r="52" spans="4:15" ht="14" thickBot="1" x14ac:dyDescent="0.2">
      <c r="D52" s="171" t="s">
        <v>84</v>
      </c>
      <c r="E52" s="172"/>
      <c r="F52" s="172"/>
      <c r="G52" s="172"/>
      <c r="H52" s="172"/>
      <c r="I52" s="171" t="s">
        <v>85</v>
      </c>
      <c r="J52" s="172"/>
      <c r="K52" s="173"/>
    </row>
    <row r="53" spans="4:15" ht="14" thickBot="1" x14ac:dyDescent="0.2">
      <c r="D53" s="6" t="s">
        <v>24</v>
      </c>
      <c r="E53" s="7" t="s">
        <v>25</v>
      </c>
      <c r="F53" s="62" t="s">
        <v>26</v>
      </c>
      <c r="G53" s="62" t="s">
        <v>27</v>
      </c>
      <c r="H53" s="86" t="s">
        <v>28</v>
      </c>
      <c r="I53" s="7" t="s">
        <v>60</v>
      </c>
      <c r="J53" s="7" t="s">
        <v>61</v>
      </c>
      <c r="K53" s="8" t="s">
        <v>62</v>
      </c>
      <c r="L53" t="s">
        <v>3</v>
      </c>
      <c r="M53" t="s">
        <v>4</v>
      </c>
      <c r="N53" t="s">
        <v>5</v>
      </c>
      <c r="O53" t="s">
        <v>6</v>
      </c>
    </row>
    <row r="54" spans="4:15" ht="17" customHeight="1" x14ac:dyDescent="0.15">
      <c r="D54" s="25"/>
      <c r="E54" s="73"/>
      <c r="F54" s="74"/>
      <c r="G54" s="74"/>
      <c r="H54" s="75"/>
      <c r="I54" s="74"/>
      <c r="J54" s="74"/>
      <c r="K54" s="75"/>
      <c r="L54" t="str">
        <f>IF(ISBLANK(D54),"",IF(D54&gt;1000,(D54-1000)/26+33.0847,(IF(D54&gt;600,(D54-600)/28+18.799,(IF(D54&gt;400,(D54-400)/30+12.1324,(IF(D54&gt;200,(D54-200)/32+5.8824,D54/34))))))))</f>
        <v/>
      </c>
      <c r="M54" t="str">
        <f t="shared" ref="M54:M63" si="6">IF(ISBLANK(D54),"",IF((D54=0),1,IF(D54&gt;=brevet,IF(brevet&gt;1200,(brevet-1200)*75/1000+90,Max_time),IF(D54&gt;1200,(D54-1200)*75/1000+90,IF(D54&gt;1000,(D54-1000)/(1000/75)+75,IF(D54&gt;600,(D54-600)/(400/35)+40,IF(D54&lt;=60,D54/20+1,D54/15)))))))</f>
        <v/>
      </c>
      <c r="N54" s="5" t="str">
        <f>IF(ISBLANK(D54),"",Open_time Control_1+(INT(L54)&amp;":"&amp;IF(ROUND(((L54-INT(L54))*60),0)&lt;10,0,"")&amp;ROUND(((L54-INT(L54))*60),0)))</f>
        <v/>
      </c>
      <c r="O54" s="5" t="str">
        <f>IF(ISBLANK(D54),"",Open_time Control_1+(INT(M54)&amp;":"&amp;IF(ROUND(((M54-INT(M54))*60),0)&lt;10,0,"")&amp;ROUND(((M54-INT(M54))*60),0)))</f>
        <v/>
      </c>
    </row>
    <row r="55" spans="4:15" ht="17" customHeight="1" x14ac:dyDescent="0.15">
      <c r="D55" s="25"/>
      <c r="E55" s="73"/>
      <c r="F55" s="74"/>
      <c r="G55" s="74"/>
      <c r="H55" s="75"/>
      <c r="I55" s="74"/>
      <c r="J55" s="74"/>
      <c r="K55" s="75"/>
      <c r="L55" t="str">
        <f t="shared" ref="L55:L63" si="7">IF(ISBLANK(D55),"",IF(D55&gt;1000,(D55-1000)/26+33.0847,(IF(D55&gt;600,(D55-600)/28+18.799,(IF(D55&gt;400,(D55-400)/30+12.1324,(IF(D55&gt;200,(D55-200)/32+5.8824,D55/34))))))))</f>
        <v/>
      </c>
      <c r="M55" t="str">
        <f t="shared" si="6"/>
        <v/>
      </c>
      <c r="N55" s="5" t="str">
        <f>IF(ISBLANK(D55),"",Open_time Control_1+(INT(L55)&amp;":"&amp;IF(ROUND(((L55-INT(L55))*60),0)&lt;10,0,"")&amp;ROUND(((L55-INT(L55))*60),0)))</f>
        <v/>
      </c>
      <c r="O55" s="5" t="str">
        <f>IF(ISBLANK(D55),"",Open_time Control_1+(INT(M55)&amp;":"&amp;IF(ROUND(((M55-INT(M55))*60),0)&lt;10,0,"")&amp;ROUND(((M55-INT(M55))*60),0)))</f>
        <v/>
      </c>
    </row>
    <row r="56" spans="4:15" ht="17" customHeight="1" x14ac:dyDescent="0.15">
      <c r="D56" s="25"/>
      <c r="E56" s="73"/>
      <c r="F56" s="74"/>
      <c r="G56" s="74"/>
      <c r="H56" s="75"/>
      <c r="I56" s="74"/>
      <c r="J56" s="74"/>
      <c r="K56" s="75"/>
      <c r="L56" t="str">
        <f t="shared" si="7"/>
        <v/>
      </c>
      <c r="M56" t="str">
        <f t="shared" si="6"/>
        <v/>
      </c>
      <c r="N56" s="5" t="str">
        <f>IF(ISBLANK(D56),"",Open_time Control_1+(INT(L56)&amp;":"&amp;IF(ROUND(((L56-INT(L56))*60),0)&lt;10,0,"")&amp;ROUND(((L56-INT(L56))*60),0)))</f>
        <v/>
      </c>
      <c r="O56" s="5" t="str">
        <f>IF(ISBLANK(D56),"",Open_time Control_1+(INT(M56)&amp;":"&amp;IF(ROUND(((M56-INT(M56))*60),0)&lt;10,0,"")&amp;ROUND(((M56-INT(M56))*60),0)))</f>
        <v/>
      </c>
    </row>
    <row r="57" spans="4:15" ht="17" customHeight="1" x14ac:dyDescent="0.15">
      <c r="D57" s="25"/>
      <c r="E57" s="73"/>
      <c r="F57" s="74"/>
      <c r="G57" s="74"/>
      <c r="H57" s="75"/>
      <c r="I57" s="74"/>
      <c r="J57" s="74"/>
      <c r="K57" s="75"/>
      <c r="L57" t="str">
        <f t="shared" si="7"/>
        <v/>
      </c>
      <c r="M57" t="str">
        <f t="shared" si="6"/>
        <v/>
      </c>
      <c r="N57" s="5" t="str">
        <f>IF(ISBLANK(D57),"",Open_time Control_1+(INT(L57)&amp;":"&amp;IF(ROUND(((L57-INT(L57))*60),0)&lt;10,0,"")&amp;ROUND(((L57-INT(L57))*60),0)))</f>
        <v/>
      </c>
      <c r="O57" s="5" t="str">
        <f>IF(ISBLANK(D57),"",Open_time Control_1+(INT(M57)&amp;":"&amp;IF(ROUND(((M57-INT(M57))*60),0)&lt;10,0,"")&amp;ROUND(((M57-INT(M57))*60),0)))</f>
        <v/>
      </c>
    </row>
    <row r="58" spans="4:15" ht="17" customHeight="1" x14ac:dyDescent="0.15">
      <c r="D58" s="25"/>
      <c r="E58" s="73"/>
      <c r="F58" s="74"/>
      <c r="G58" s="74"/>
      <c r="H58" s="75"/>
      <c r="I58" s="74"/>
      <c r="J58" s="74"/>
      <c r="K58" s="75"/>
      <c r="L58" t="str">
        <f t="shared" si="7"/>
        <v/>
      </c>
      <c r="M58" t="str">
        <f t="shared" si="6"/>
        <v/>
      </c>
      <c r="N58" s="5" t="str">
        <f>IF(ISBLANK(D58),"",Open_time Control_1+(INT(L58)&amp;":"&amp;IF(ROUND(((L58-INT(L58))*60),0)&lt;10,0,"")&amp;ROUND(((L58-INT(L58))*60),0)))</f>
        <v/>
      </c>
      <c r="O58" s="5" t="str">
        <f>IF(ISBLANK(D58),"",Open_time Control_1+(INT(M58)&amp;":"&amp;IF(ROUND(((M58-INT(M58))*60),0)&lt;10,0,"")&amp;ROUND(((M58-INT(M58))*60),0)))</f>
        <v/>
      </c>
    </row>
    <row r="59" spans="4:15" ht="17" customHeight="1" x14ac:dyDescent="0.15">
      <c r="D59" s="25"/>
      <c r="E59" s="73"/>
      <c r="F59" s="74"/>
      <c r="G59" s="74"/>
      <c r="H59" s="75"/>
      <c r="I59" s="74"/>
      <c r="J59" s="74"/>
      <c r="K59" s="75"/>
      <c r="L59" t="str">
        <f t="shared" si="7"/>
        <v/>
      </c>
      <c r="M59" t="str">
        <f t="shared" si="6"/>
        <v/>
      </c>
      <c r="N59" s="5" t="str">
        <f>IF(ISBLANK(D59),"",Open_time Control_1+(INT(L59)&amp;":"&amp;IF(ROUND(((L59-INT(L59))*60),0)&lt;10,0,"")&amp;ROUND(((L59-INT(L59))*60),0)))</f>
        <v/>
      </c>
      <c r="O59" s="5" t="str">
        <f>IF(ISBLANK(D59),"",Open_time Control_1+(INT(M59)&amp;":"&amp;IF(ROUND(((M59-INT(M59))*60),0)&lt;10,0,"")&amp;ROUND(((M59-INT(M59))*60),0)))</f>
        <v/>
      </c>
    </row>
    <row r="60" spans="4:15" ht="17" customHeight="1" x14ac:dyDescent="0.15">
      <c r="D60" s="25"/>
      <c r="E60" s="73"/>
      <c r="F60" s="74"/>
      <c r="G60" s="74"/>
      <c r="H60" s="75"/>
      <c r="I60" s="74"/>
      <c r="J60" s="74"/>
      <c r="K60" s="75"/>
      <c r="L60" t="str">
        <f t="shared" si="7"/>
        <v/>
      </c>
      <c r="M60" t="str">
        <f t="shared" si="6"/>
        <v/>
      </c>
      <c r="N60" s="5" t="str">
        <f>IF(ISBLANK(D60),"",Open_time Control_1+(INT(L60)&amp;":"&amp;IF(ROUND(((L60-INT(L60))*60),0)&lt;10,0,"")&amp;ROUND(((L60-INT(L60))*60),0)))</f>
        <v/>
      </c>
      <c r="O60" s="5" t="str">
        <f>IF(ISBLANK(D60),"",Open_time Control_1+(INT(M60)&amp;":"&amp;IF(ROUND(((M60-INT(M60))*60),0)&lt;10,0,"")&amp;ROUND(((M60-INT(M60))*60),0)))</f>
        <v/>
      </c>
    </row>
    <row r="61" spans="4:15" ht="17" customHeight="1" x14ac:dyDescent="0.15">
      <c r="D61" s="25"/>
      <c r="E61" s="73"/>
      <c r="F61" s="74"/>
      <c r="G61" s="74"/>
      <c r="H61" s="75"/>
      <c r="I61" s="74"/>
      <c r="J61" s="74"/>
      <c r="K61" s="75"/>
      <c r="L61" t="str">
        <f t="shared" si="7"/>
        <v/>
      </c>
      <c r="M61" t="str">
        <f t="shared" si="6"/>
        <v/>
      </c>
      <c r="N61" s="5" t="str">
        <f>IF(ISBLANK(D61),"",Open_time Control_1+(INT(L61)&amp;":"&amp;IF(ROUND(((L61-INT(L61))*60),0)&lt;10,0,"")&amp;ROUND(((L61-INT(L61))*60),0)))</f>
        <v/>
      </c>
      <c r="O61" s="5" t="str">
        <f>IF(ISBLANK(D61),"",Open_time Control_1+(INT(M61)&amp;":"&amp;IF(ROUND(((M61-INT(M61))*60),0)&lt;10,0,"")&amp;ROUND(((M61-INT(M61))*60),0)))</f>
        <v/>
      </c>
    </row>
    <row r="62" spans="4:15" ht="17" customHeight="1" x14ac:dyDescent="0.15">
      <c r="D62" s="25"/>
      <c r="E62" s="73"/>
      <c r="F62" s="74"/>
      <c r="G62" s="74"/>
      <c r="H62" s="75"/>
      <c r="I62" s="74"/>
      <c r="J62" s="74"/>
      <c r="K62" s="75"/>
      <c r="L62" t="str">
        <f t="shared" si="7"/>
        <v/>
      </c>
      <c r="M62" t="str">
        <f t="shared" si="6"/>
        <v/>
      </c>
      <c r="N62" s="5" t="str">
        <f>IF(ISBLANK(D62),"",Open_time Control_1+(INT(L62)&amp;":"&amp;IF(ROUND(((L62-INT(L62))*60),0)&lt;10,0,"")&amp;ROUND(((L62-INT(L62))*60),0)))</f>
        <v/>
      </c>
      <c r="O62" s="5" t="str">
        <f>IF(ISBLANK(D62),"",Open_time Control_1+(INT(M62)&amp;":"&amp;IF(ROUND(((M62-INT(M62))*60),0)&lt;10,0,"")&amp;ROUND(((M62-INT(M62))*60),0)))</f>
        <v/>
      </c>
    </row>
    <row r="63" spans="4:15" ht="17" customHeight="1" thickBot="1" x14ac:dyDescent="0.2">
      <c r="D63" s="51"/>
      <c r="E63" s="76"/>
      <c r="F63" s="77"/>
      <c r="G63" s="77"/>
      <c r="H63" s="78"/>
      <c r="I63" s="77"/>
      <c r="J63" s="77"/>
      <c r="K63" s="78"/>
      <c r="L63" t="str">
        <f t="shared" si="7"/>
        <v/>
      </c>
      <c r="M63" t="str">
        <f t="shared" si="6"/>
        <v/>
      </c>
      <c r="N63" s="5" t="str">
        <f>IF(ISBLANK(D63),"",Open_time Control_1+(INT(L63)&amp;":"&amp;IF(ROUND(((L63-INT(L63))*60),0)&lt;10,0,"")&amp;ROUND(((L63-INT(L63))*60),0)))</f>
        <v/>
      </c>
      <c r="O63" s="5" t="str">
        <f>IF(ISBLANK(D63),"",Open_time Control_1+(INT(M63)&amp;":"&amp;IF(ROUND(((M63-INT(M63))*60),0)&lt;10,0,"")&amp;ROUND(((M63-INT(M63))*60),0)))</f>
        <v/>
      </c>
    </row>
  </sheetData>
  <sheetProtection formatCells="0" selectLockedCells="1"/>
  <mergeCells count="12">
    <mergeCell ref="A1:G1"/>
    <mergeCell ref="B8:F8"/>
    <mergeCell ref="Q1:AF4"/>
    <mergeCell ref="D52:H52"/>
    <mergeCell ref="I52:K52"/>
    <mergeCell ref="D39:H39"/>
    <mergeCell ref="I39:K39"/>
    <mergeCell ref="J6:K6"/>
    <mergeCell ref="D13:H13"/>
    <mergeCell ref="D26:H26"/>
    <mergeCell ref="I13:K13"/>
    <mergeCell ref="I26:K26"/>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14ED8-B2B3-3C4A-953E-40C153A6C07C}">
  <sheetPr>
    <pageSetUpPr fitToPage="1"/>
  </sheetPr>
  <dimension ref="B1:O57"/>
  <sheetViews>
    <sheetView view="pageLayout" topLeftCell="A21" zoomScale="75" zoomScaleNormal="115" zoomScalePageLayoutView="75" workbookViewId="0">
      <selection activeCell="F22" sqref="F22"/>
    </sheetView>
  </sheetViews>
  <sheetFormatPr baseColWidth="10" defaultColWidth="8.83203125" defaultRowHeight="13" x14ac:dyDescent="0.15"/>
  <cols>
    <col min="1" max="1" width="1.83203125" customWidth="1"/>
    <col min="2" max="2" width="12.83203125" customWidth="1"/>
    <col min="3" max="4" width="15.83203125" customWidth="1"/>
    <col min="5" max="5" width="25.83203125" customWidth="1"/>
    <col min="6" max="6" width="40.83203125" customWidth="1"/>
    <col min="7" max="7" width="12.83203125" customWidth="1"/>
    <col min="8" max="8" width="25.83203125" customWidth="1"/>
    <col min="9" max="9" width="30.83203125" customWidth="1"/>
    <col min="10" max="10" width="25.83203125" customWidth="1"/>
    <col min="11" max="11" width="1.83203125" customWidth="1"/>
    <col min="12" max="12" width="8.83203125" customWidth="1"/>
  </cols>
  <sheetData>
    <row r="1" spans="2:15" x14ac:dyDescent="0.15">
      <c r="K1" s="140"/>
      <c r="L1" s="140"/>
      <c r="M1" s="140"/>
    </row>
    <row r="2" spans="2:15" ht="18" x14ac:dyDescent="0.2">
      <c r="C2" s="176" t="s">
        <v>55</v>
      </c>
      <c r="D2" s="176"/>
      <c r="E2" s="176"/>
      <c r="F2" s="176"/>
      <c r="G2" s="115"/>
      <c r="H2" s="115"/>
      <c r="I2" s="143" t="s">
        <v>91</v>
      </c>
      <c r="J2" s="144">
        <f>'Control Entry'!B4</f>
        <v>45211</v>
      </c>
      <c r="K2" s="115"/>
      <c r="L2" s="115"/>
    </row>
    <row r="3" spans="2:15" ht="45" customHeight="1" x14ac:dyDescent="0.45">
      <c r="D3" s="13"/>
      <c r="E3" s="185" t="s">
        <v>33</v>
      </c>
      <c r="F3" s="185"/>
      <c r="G3" s="185"/>
      <c r="H3" s="185"/>
      <c r="I3" s="128" t="s">
        <v>93</v>
      </c>
      <c r="J3" s="136">
        <f>IF(ISBLANK(Brevet_Number),"",Brevet_Number)</f>
        <v>5278</v>
      </c>
      <c r="K3" s="84"/>
      <c r="L3" s="84"/>
    </row>
    <row r="4" spans="2:15" ht="20" customHeight="1" x14ac:dyDescent="0.15">
      <c r="C4" s="13"/>
      <c r="E4" s="186" t="str">
        <f>IF(ISBLANK(Brevet_Length),"",Brevet_Length&amp;" km Randonnée")</f>
        <v>200 km Randonnée</v>
      </c>
      <c r="F4" s="186"/>
      <c r="G4" s="186"/>
      <c r="H4" s="186"/>
      <c r="K4" s="110"/>
      <c r="L4" s="110"/>
    </row>
    <row r="5" spans="2:15" ht="20" customHeight="1" x14ac:dyDescent="0.2">
      <c r="D5" s="111"/>
      <c r="E5" s="184" t="str">
        <f>IF(ISBLANK(Brevet_Description),"",Brevet_Description)</f>
        <v>2023 AGM -- Old Rails and Trails</v>
      </c>
      <c r="F5" s="184"/>
      <c r="G5" s="184"/>
      <c r="H5" s="184"/>
      <c r="I5" s="139"/>
      <c r="J5" s="111"/>
      <c r="K5" s="111"/>
      <c r="L5" s="111"/>
    </row>
    <row r="6" spans="2:15" ht="20" x14ac:dyDescent="0.2">
      <c r="D6" s="129"/>
      <c r="E6" s="184"/>
      <c r="F6" s="184"/>
      <c r="G6" s="184"/>
      <c r="H6" s="184"/>
      <c r="I6" s="139"/>
      <c r="J6" s="129"/>
      <c r="K6" s="111"/>
      <c r="L6" s="111"/>
    </row>
    <row r="7" spans="2:15" ht="25" customHeight="1" x14ac:dyDescent="0.15">
      <c r="C7" s="180"/>
      <c r="D7" s="180"/>
      <c r="E7" s="180"/>
      <c r="F7" s="180"/>
      <c r="H7" s="182"/>
    </row>
    <row r="8" spans="2:15" ht="21" thickBot="1" x14ac:dyDescent="0.25">
      <c r="B8" s="112" t="s">
        <v>94</v>
      </c>
      <c r="C8" s="181"/>
      <c r="D8" s="181"/>
      <c r="E8" s="181"/>
      <c r="F8" s="181"/>
      <c r="G8" s="44" t="s">
        <v>46</v>
      </c>
      <c r="H8" s="183"/>
      <c r="I8" s="113"/>
      <c r="J8" s="113"/>
      <c r="K8" s="113"/>
      <c r="L8" s="27"/>
    </row>
    <row r="9" spans="2:15" ht="22" customHeight="1" x14ac:dyDescent="0.15">
      <c r="B9" s="130"/>
      <c r="C9" s="130"/>
      <c r="D9" s="130"/>
      <c r="E9" s="130"/>
      <c r="F9" s="131"/>
      <c r="G9" s="132"/>
      <c r="H9" s="132"/>
      <c r="I9" s="132"/>
      <c r="J9" s="131"/>
    </row>
    <row r="10" spans="2:15" ht="20" customHeight="1" x14ac:dyDescent="0.15">
      <c r="B10" s="178" t="s">
        <v>56</v>
      </c>
      <c r="C10" s="178"/>
      <c r="D10" s="124" t="s">
        <v>57</v>
      </c>
      <c r="E10" s="179" t="s">
        <v>90</v>
      </c>
      <c r="F10" s="179"/>
      <c r="G10" s="179"/>
      <c r="H10" s="135"/>
      <c r="I10" s="119"/>
      <c r="J10" s="119"/>
      <c r="K10" s="50"/>
      <c r="L10" s="187"/>
      <c r="M10" s="187"/>
      <c r="N10" s="187"/>
      <c r="O10" s="187"/>
    </row>
    <row r="11" spans="2:15" ht="23" x14ac:dyDescent="0.15">
      <c r="B11" s="118"/>
      <c r="C11" s="118"/>
      <c r="D11" s="118"/>
      <c r="E11" s="118"/>
      <c r="F11" s="114"/>
      <c r="G11" s="120"/>
      <c r="H11" s="120"/>
      <c r="I11" s="120"/>
      <c r="J11" s="114"/>
    </row>
    <row r="12" spans="2:15" ht="21" thickBot="1" x14ac:dyDescent="0.25">
      <c r="D12" s="201" t="s">
        <v>22</v>
      </c>
      <c r="E12" s="201"/>
      <c r="F12" s="134">
        <f>IF(ISBLANK('Control Entry'!B12),"",'Control Entry'!B12)</f>
        <v>45213</v>
      </c>
      <c r="G12" s="138"/>
      <c r="H12" s="125" t="s">
        <v>96</v>
      </c>
      <c r="I12" s="133">
        <f>IF(ISBLANK('Control Entry'!B13),"",'Control Entry'!B13)</f>
        <v>0.33333333333333331</v>
      </c>
      <c r="J12" s="59"/>
    </row>
    <row r="13" spans="2:15" ht="20" x14ac:dyDescent="0.2">
      <c r="D13" s="58"/>
      <c r="E13" s="58"/>
      <c r="F13" s="56"/>
      <c r="G13" s="56"/>
      <c r="H13" s="56"/>
      <c r="J13" s="27"/>
      <c r="K13" s="21"/>
      <c r="L13" s="59"/>
      <c r="M13" s="59"/>
      <c r="N13" s="59"/>
      <c r="O13" s="27"/>
    </row>
    <row r="14" spans="2:15" ht="21" thickBot="1" x14ac:dyDescent="0.25">
      <c r="D14" s="202" t="s">
        <v>95</v>
      </c>
      <c r="E14" s="202"/>
      <c r="F14" s="134"/>
      <c r="G14" s="138"/>
      <c r="H14" s="125" t="s">
        <v>97</v>
      </c>
      <c r="I14" s="133"/>
      <c r="J14" s="59"/>
      <c r="K14" s="18"/>
      <c r="L14" s="127"/>
      <c r="M14" s="127"/>
      <c r="N14" s="127"/>
    </row>
    <row r="15" spans="2:15" ht="20" x14ac:dyDescent="0.2">
      <c r="B15" s="79"/>
      <c r="C15" s="79"/>
      <c r="D15" s="56"/>
      <c r="E15" s="56"/>
      <c r="H15" s="56"/>
      <c r="I15" s="21"/>
      <c r="J15" s="21"/>
      <c r="K15" s="21"/>
      <c r="L15" s="21"/>
      <c r="M15" s="21"/>
      <c r="N15" s="21"/>
      <c r="O15" s="27"/>
    </row>
    <row r="16" spans="2:15" ht="21" thickBot="1" x14ac:dyDescent="0.25">
      <c r="C16" s="126"/>
      <c r="D16" s="126"/>
      <c r="E16" s="126"/>
      <c r="F16" s="126"/>
      <c r="H16" s="44" t="s">
        <v>98</v>
      </c>
      <c r="I16" s="133"/>
      <c r="J16" s="59"/>
      <c r="K16" s="18"/>
      <c r="L16" s="127"/>
      <c r="M16" s="127"/>
      <c r="N16" s="127"/>
    </row>
    <row r="17" spans="2:15" ht="20" x14ac:dyDescent="0.15">
      <c r="C17" s="203" t="s">
        <v>17</v>
      </c>
      <c r="D17" s="203"/>
      <c r="E17" s="203"/>
      <c r="F17" s="203"/>
      <c r="G17" s="50"/>
      <c r="H17" s="50"/>
      <c r="I17" s="197"/>
      <c r="J17" s="197"/>
      <c r="K17" s="50"/>
      <c r="L17" s="187"/>
      <c r="M17" s="187"/>
      <c r="N17" s="187"/>
      <c r="O17" s="187"/>
    </row>
    <row r="18" spans="2:15" ht="6" customHeight="1" thickBot="1" x14ac:dyDescent="0.2">
      <c r="B18" s="121"/>
      <c r="C18" s="121"/>
      <c r="D18" s="121"/>
      <c r="E18" s="121"/>
      <c r="F18" s="122"/>
      <c r="G18" s="123"/>
      <c r="H18" s="123"/>
      <c r="I18" s="123"/>
      <c r="J18" s="122"/>
    </row>
    <row r="19" spans="2:15" ht="22" thickTop="1" thickBot="1" x14ac:dyDescent="0.2">
      <c r="B19" s="177" t="s">
        <v>79</v>
      </c>
      <c r="C19" s="177"/>
      <c r="D19" s="177"/>
      <c r="E19" s="177"/>
      <c r="F19" s="177"/>
      <c r="G19" s="177"/>
      <c r="H19" s="177"/>
      <c r="I19" s="177"/>
      <c r="J19" s="177"/>
    </row>
    <row r="20" spans="2:15" ht="20" thickBot="1" x14ac:dyDescent="0.25">
      <c r="B20" s="109" t="s">
        <v>30</v>
      </c>
      <c r="C20" s="9" t="s">
        <v>3</v>
      </c>
      <c r="D20" s="9" t="s">
        <v>4</v>
      </c>
      <c r="E20" s="9" t="s">
        <v>25</v>
      </c>
      <c r="F20" s="9" t="s">
        <v>31</v>
      </c>
      <c r="G20" s="198" t="s">
        <v>59</v>
      </c>
      <c r="H20" s="199"/>
      <c r="I20" s="200"/>
      <c r="J20" s="109" t="s">
        <v>32</v>
      </c>
    </row>
    <row r="21" spans="2:15" ht="40" customHeight="1" x14ac:dyDescent="0.25">
      <c r="B21" s="154"/>
      <c r="C21" s="166">
        <f>Control_1 Open_time</f>
        <v>45213.333333333336</v>
      </c>
      <c r="D21" s="166">
        <f>Control_1 Close_time</f>
        <v>45213.375</v>
      </c>
      <c r="E21" s="155"/>
      <c r="F21" s="156" t="str">
        <f>IF(ISBLANK(Control_1 Establishment_1),"",Control_1 Establishment_1)</f>
        <v>STAFFED</v>
      </c>
      <c r="G21" s="191" t="str">
        <f>IF(ISBLANK('Control Entry'!I15),"",'Control Entry'!I15)</f>
        <v/>
      </c>
      <c r="H21" s="192"/>
      <c r="I21" s="193"/>
      <c r="J21" s="157"/>
    </row>
    <row r="22" spans="2:15" ht="40" customHeight="1" x14ac:dyDescent="0.25">
      <c r="B22" s="158">
        <f>IF(ISBLANK(Distance Control_1),"",Control_1 Distance)</f>
        <v>0</v>
      </c>
      <c r="C22" s="159">
        <f>Control_1 Open_time</f>
        <v>45213.333333333336</v>
      </c>
      <c r="D22" s="159">
        <f>Control_1 Close_time</f>
        <v>45213.375</v>
      </c>
      <c r="E22" s="156" t="str">
        <f>IF(ISBLANK(Locale Control_1),"",Locale Control_1)</f>
        <v>SIDNEY</v>
      </c>
      <c r="F22" s="156" t="str">
        <f>IF(ISBLANK(Control_1 Establishment_2),"",Control_1 Establishment_2)</f>
        <v>Tim Hortons</v>
      </c>
      <c r="G22" s="194" t="str">
        <f>IF(ISBLANK('Control Entry'!J15),"",'Control Entry'!J15)</f>
        <v/>
      </c>
      <c r="H22" s="195"/>
      <c r="I22" s="196"/>
      <c r="J22" s="160"/>
    </row>
    <row r="23" spans="2:15" ht="40" customHeight="1" thickBot="1" x14ac:dyDescent="0.3">
      <c r="B23" s="161"/>
      <c r="C23" s="167">
        <f>Control_1 Open_time</f>
        <v>45213.333333333336</v>
      </c>
      <c r="D23" s="167">
        <f>Control_1 Close_time</f>
        <v>45213.375</v>
      </c>
      <c r="E23" s="162"/>
      <c r="F23" s="163" t="str">
        <f>IF(ISBLANK(Control_1 Establishment_3),"",Control_1 Establishment_3)</f>
        <v xml:space="preserve">2343 Beacon Ave </v>
      </c>
      <c r="G23" s="188" t="str">
        <f>IF(ISBLANK('Control Entry'!K15),"",'Control Entry'!K15)</f>
        <v/>
      </c>
      <c r="H23" s="189"/>
      <c r="I23" s="190"/>
      <c r="J23" s="164"/>
    </row>
    <row r="24" spans="2:15" ht="40" customHeight="1" x14ac:dyDescent="0.25">
      <c r="B24" s="154"/>
      <c r="C24" s="166">
        <f>Control_2 Open_time</f>
        <v>45213.370138888895</v>
      </c>
      <c r="D24" s="166">
        <f>Control_2 Close_time</f>
        <v>45213.4375</v>
      </c>
      <c r="E24" s="165"/>
      <c r="F24" s="156" t="str">
        <f>IF(ISBLANK(Control_2 Establishment_1),"",Control_2 Establishment_1)</f>
        <v>STAFFED</v>
      </c>
      <c r="G24" s="191" t="str">
        <f>IF(ISBLANK('Control Entry'!I16),"",'Control Entry'!I16)</f>
        <v/>
      </c>
      <c r="H24" s="192"/>
      <c r="I24" s="193"/>
      <c r="J24" s="157"/>
    </row>
    <row r="25" spans="2:15" ht="40" customHeight="1" x14ac:dyDescent="0.25">
      <c r="B25" s="158">
        <f>IF(ISBLANK(Distance Control_2),"",Control_2 Distance)</f>
        <v>30.1</v>
      </c>
      <c r="C25" s="159">
        <f>Control_2 Open_time</f>
        <v>45213.370138888895</v>
      </c>
      <c r="D25" s="159">
        <f>Control_2 Close_time</f>
        <v>45213.4375</v>
      </c>
      <c r="E25" s="156" t="str">
        <f>IF(ISBLANK(Locale Control_2),"",Locale Control_2)</f>
        <v>VIEW ROYAL</v>
      </c>
      <c r="F25" s="156" t="str">
        <f>IF(ISBLANK(Control_2 Establishment_2),"",Control_2 Establishment_2)</f>
        <v>E&amp;N Trail at Galloping Goose Trail</v>
      </c>
      <c r="G25" s="194" t="str">
        <f>IF(ISBLANK('Control Entry'!J16),"",'Control Entry'!J16)</f>
        <v/>
      </c>
      <c r="H25" s="195"/>
      <c r="I25" s="196"/>
      <c r="J25" s="160"/>
    </row>
    <row r="26" spans="2:15" ht="40" customHeight="1" thickBot="1" x14ac:dyDescent="0.3">
      <c r="B26" s="161"/>
      <c r="C26" s="167">
        <f>Control_2 Open_time</f>
        <v>45213.370138888895</v>
      </c>
      <c r="D26" s="167">
        <f>Control_2 Close_time</f>
        <v>45213.4375</v>
      </c>
      <c r="E26" s="162"/>
      <c r="F26" s="163" t="str">
        <f>IF(ISBLANK(Control_2 Establishment_3),"",Control_2 Establishment_3)</f>
        <v>Beneath highway 1 overpass</v>
      </c>
      <c r="G26" s="188" t="str">
        <f>IF(ISBLANK('Control Entry'!K16),"",'Control Entry'!K16)</f>
        <v/>
      </c>
      <c r="H26" s="189"/>
      <c r="I26" s="190"/>
      <c r="J26" s="164"/>
    </row>
    <row r="27" spans="2:15" ht="40" customHeight="1" x14ac:dyDescent="0.25">
      <c r="B27" s="154"/>
      <c r="C27" s="166">
        <f>Control_3 Open_time</f>
        <v>45213.39166666667</v>
      </c>
      <c r="D27" s="166">
        <f>Control_3 Close_time</f>
        <v>45213.474305555559</v>
      </c>
      <c r="E27" s="165"/>
      <c r="F27" s="156" t="str">
        <f>IF(ISBLANK(Control_3 Establishment_1),"",Control_3 Establishment_1)</f>
        <v>STAFFED</v>
      </c>
      <c r="G27" s="191" t="str">
        <f>IF(ISBLANK('Control Entry'!I17),"",'Control Entry'!I17)</f>
        <v/>
      </c>
      <c r="H27" s="192"/>
      <c r="I27" s="193"/>
      <c r="J27" s="157"/>
    </row>
    <row r="28" spans="2:15" ht="40" customHeight="1" x14ac:dyDescent="0.25">
      <c r="B28" s="158">
        <f>IF(ISBLANK(Distance Control_3),"",Control_3 Distance)</f>
        <v>47.6</v>
      </c>
      <c r="C28" s="159">
        <f>Control_3 Open_time</f>
        <v>45213.39166666667</v>
      </c>
      <c r="D28" s="159">
        <f>Control_3 Close_time</f>
        <v>45213.474305555559</v>
      </c>
      <c r="E28" s="156" t="str">
        <f>IF(ISBLANK(Locale Control_3),"",Locale Control_3)</f>
        <v>SAANICH</v>
      </c>
      <c r="F28" s="156" t="str">
        <f>IF(ISBLANK(Control_3 Establishment_2),"",Control_3 Establishment_2)</f>
        <v xml:space="preserve">Harvest Lane Park </v>
      </c>
      <c r="G28" s="194" t="str">
        <f>IF(ISBLANK('Control Entry'!J17),"",'Control Entry'!J17)</f>
        <v/>
      </c>
      <c r="H28" s="195"/>
      <c r="I28" s="196"/>
      <c r="J28" s="160"/>
    </row>
    <row r="29" spans="2:15" ht="40" customHeight="1" thickBot="1" x14ac:dyDescent="0.3">
      <c r="B29" s="161"/>
      <c r="C29" s="167">
        <f>Control_3 Open_time</f>
        <v>45213.39166666667</v>
      </c>
      <c r="D29" s="167">
        <f>Control_3 Close_time</f>
        <v>45213.474305555559</v>
      </c>
      <c r="E29" s="162"/>
      <c r="F29" s="163" t="str">
        <f>IF(ISBLANK(Control_3 Establishment_3),"",Control_3 Establishment_3)</f>
        <v>1457 Harvest Ln</v>
      </c>
      <c r="G29" s="188" t="str">
        <f>IF(ISBLANK('Control Entry'!K17),"",'Control Entry'!K17)</f>
        <v/>
      </c>
      <c r="H29" s="189"/>
      <c r="I29" s="190"/>
      <c r="J29" s="164"/>
    </row>
    <row r="30" spans="2:15" ht="40" customHeight="1" x14ac:dyDescent="0.25">
      <c r="B30" s="154"/>
      <c r="C30" s="166">
        <f>Control_4 Open_time</f>
        <v>45213.405555555561</v>
      </c>
      <c r="D30" s="166">
        <f>Control_4 Close_time</f>
        <v>45213.497222222228</v>
      </c>
      <c r="E30" s="165"/>
      <c r="F30" s="156" t="str">
        <f>IF(ISBLANK(Control_4 Establishment_1),"",Control_4 Establishment_1)</f>
        <v>INFORMATION</v>
      </c>
      <c r="G30" s="191" t="str">
        <f>IF(ISBLANK('Control Entry'!I18),"",'Control Entry'!I18)</f>
        <v>Entry arch to park,</v>
      </c>
      <c r="H30" s="192"/>
      <c r="I30" s="193"/>
      <c r="J30" s="157"/>
    </row>
    <row r="31" spans="2:15" ht="40" customHeight="1" x14ac:dyDescent="0.25">
      <c r="B31" s="158">
        <f>IF(ISBLANK(Distance Control_4),"",Control_4 Distance)</f>
        <v>58.7</v>
      </c>
      <c r="C31" s="159">
        <f>Control_4 Open_time</f>
        <v>45213.405555555561</v>
      </c>
      <c r="D31" s="159">
        <f>Control_4 Close_time</f>
        <v>45213.497222222228</v>
      </c>
      <c r="E31" s="156" t="str">
        <f>IF(ISBLANK(Locale Control_4),"",Locale Control_4)</f>
        <v>OAK BAY</v>
      </c>
      <c r="F31" s="156" t="str">
        <f>IF(ISBLANK(Control_4 Establishment_2),"",Control_4 Establishment_2)</f>
        <v>Anderson Hill Park</v>
      </c>
      <c r="G31" s="194" t="str">
        <f>IF(ISBLANK('Control Entry'!J18),"",'Control Entry'!J18)</f>
        <v>How many signs on left post?</v>
      </c>
      <c r="H31" s="195"/>
      <c r="I31" s="196"/>
      <c r="J31" s="160"/>
    </row>
    <row r="32" spans="2:15" ht="40" customHeight="1" thickBot="1" x14ac:dyDescent="0.3">
      <c r="B32" s="161"/>
      <c r="C32" s="167">
        <f>Control_4 Open_time</f>
        <v>45213.405555555561</v>
      </c>
      <c r="D32" s="167">
        <f>Control_4 Close_time</f>
        <v>45213.497222222228</v>
      </c>
      <c r="E32" s="162"/>
      <c r="F32" s="163" t="str">
        <f>IF(ISBLANK(Control_4 Establishment_3),"",Control_4 Establishment_3)</f>
        <v>572 Island Rd</v>
      </c>
      <c r="G32" s="188" t="str">
        <f>IF(ISBLANK('Control Entry'!K18),"",'Control Entry'!K18)</f>
        <v xml:space="preserve">1      2      3      4 </v>
      </c>
      <c r="H32" s="189"/>
      <c r="I32" s="190"/>
      <c r="J32" s="164"/>
    </row>
    <row r="33" spans="2:10" ht="40" customHeight="1" x14ac:dyDescent="0.25">
      <c r="B33" s="154"/>
      <c r="C33" s="166">
        <f>Control_5 Open_time</f>
        <v>45213.415972222225</v>
      </c>
      <c r="D33" s="166">
        <f>Control_5 Close_time</f>
        <v>45213.520833333336</v>
      </c>
      <c r="E33" s="165"/>
      <c r="F33" s="156" t="str">
        <f>IF(ISBLANK(Control_5 Establishment_1),"",Control_5 Establishment_1)</f>
        <v>STAFFED</v>
      </c>
      <c r="G33" s="191" t="str">
        <f>IF(ISBLANK('Control Entry'!I19),"",'Control Entry'!I19)</f>
        <v/>
      </c>
      <c r="H33" s="192"/>
      <c r="I33" s="193"/>
      <c r="J33" s="157"/>
    </row>
    <row r="34" spans="2:10" ht="40" customHeight="1" x14ac:dyDescent="0.25">
      <c r="B34" s="158">
        <f>IF(ISBLANK(Distance Control_5),"",Control_5 Distance)</f>
        <v>67.400000000000006</v>
      </c>
      <c r="C34" s="159">
        <f>Control_5 Open_time</f>
        <v>45213.415972222225</v>
      </c>
      <c r="D34" s="159">
        <f>Control_5 Close_time</f>
        <v>45213.520833333336</v>
      </c>
      <c r="E34" s="156" t="str">
        <f>IF(ISBLANK(Locale Control_5),"",Locale Control_5)</f>
        <v>VICTORIA</v>
      </c>
      <c r="F34" s="156" t="str">
        <f>IF(ISBLANK(Control_5 Establishment_2),"",Control_5 Establishment_2)</f>
        <v>HMCS Malahat</v>
      </c>
      <c r="G34" s="194" t="str">
        <f>IF(ISBLANK('Control Entry'!J19),"",'Control Entry'!J19)</f>
        <v/>
      </c>
      <c r="H34" s="195"/>
      <c r="I34" s="196"/>
      <c r="J34" s="160"/>
    </row>
    <row r="35" spans="2:10" ht="40" customHeight="1" thickBot="1" x14ac:dyDescent="0.3">
      <c r="B35" s="161"/>
      <c r="C35" s="167">
        <f>Control_5 Open_time</f>
        <v>45213.415972222225</v>
      </c>
      <c r="D35" s="167">
        <f>Control_5 Close_time</f>
        <v>45213.520833333336</v>
      </c>
      <c r="E35" s="162"/>
      <c r="F35" s="163" t="str">
        <f>IF(ISBLANK(Control_5 Establishment_3),"",Control_5 Establishment_3)</f>
        <v>20 Huron St</v>
      </c>
      <c r="G35" s="188" t="str">
        <f>IF(ISBLANK('Control Entry'!K19),"",'Control Entry'!K19)</f>
        <v/>
      </c>
      <c r="H35" s="189"/>
      <c r="I35" s="190"/>
      <c r="J35" s="164"/>
    </row>
    <row r="36" spans="2:10" ht="40" customHeight="1" x14ac:dyDescent="0.25">
      <c r="B36" s="154"/>
      <c r="C36" s="166">
        <f>Control_6 Open_time</f>
        <v>45213.472222222226</v>
      </c>
      <c r="D36" s="166">
        <f>Control_6 Close_time</f>
        <v>45213.648611111115</v>
      </c>
      <c r="E36" s="165"/>
      <c r="F36" s="156" t="str">
        <f>IF(ISBLANK(Control_6 Establishment_1),"",Control_6 Establishment_1)</f>
        <v>STAFFED</v>
      </c>
      <c r="G36" s="191" t="str">
        <f>IF(ISBLANK('Control Entry'!I20),"",'Control Entry'!I20)</f>
        <v/>
      </c>
      <c r="H36" s="192"/>
      <c r="I36" s="193"/>
      <c r="J36" s="157"/>
    </row>
    <row r="37" spans="2:10" ht="40" customHeight="1" x14ac:dyDescent="0.25">
      <c r="B37" s="158">
        <f>IF(ISBLANK(Distance Control_6),"",Control_6 Distance)</f>
        <v>113.4</v>
      </c>
      <c r="C37" s="159">
        <f>Control_6 Open_time</f>
        <v>45213.472222222226</v>
      </c>
      <c r="D37" s="159">
        <f>Control_6 Close_time</f>
        <v>45213.648611111115</v>
      </c>
      <c r="E37" s="156" t="str">
        <f>IF(ISBLANK(Locale Control_6),"",Locale Control_6)</f>
        <v>SOOKE</v>
      </c>
      <c r="F37" s="156" t="str">
        <f>IF(ISBLANK(Control_6 Establishment_2),"",Control_6 Establishment_2)</f>
        <v>Sooke River Rd parking lot</v>
      </c>
      <c r="G37" s="194" t="str">
        <f>IF(ISBLANK('Control Entry'!J20),"",'Control Entry'!J20)</f>
        <v/>
      </c>
      <c r="H37" s="195"/>
      <c r="I37" s="196"/>
      <c r="J37" s="160"/>
    </row>
    <row r="38" spans="2:10" ht="40" customHeight="1" thickBot="1" x14ac:dyDescent="0.3">
      <c r="B38" s="161"/>
      <c r="C38" s="167">
        <f>Control_6 Open_time</f>
        <v>45213.472222222226</v>
      </c>
      <c r="D38" s="167">
        <f>Control_6 Close_time</f>
        <v>45213.648611111115</v>
      </c>
      <c r="E38" s="162"/>
      <c r="F38" s="163" t="str">
        <f>IF(ISBLANK(Control_6 Establishment_3),"",Control_6 Establishment_3)</f>
        <v>Galloping Goose Trai</v>
      </c>
      <c r="G38" s="188" t="str">
        <f>IF(ISBLANK('Control Entry'!K20),"",'Control Entry'!K20)</f>
        <v/>
      </c>
      <c r="H38" s="189"/>
      <c r="I38" s="190"/>
      <c r="J38" s="164"/>
    </row>
    <row r="39" spans="2:10" ht="40" customHeight="1" x14ac:dyDescent="0.25">
      <c r="B39" s="154"/>
      <c r="C39" s="166">
        <f>Control_7 Open_time</f>
        <v>45213.511111111111</v>
      </c>
      <c r="D39" s="166">
        <f>Control_7 Close_time</f>
        <v>45213.736111111117</v>
      </c>
      <c r="E39" s="165"/>
      <c r="F39" s="156" t="str">
        <f>IF(ISBLANK(Control_7 Establishment_1),"",Control_7 Establishment_1)</f>
        <v>BUSINESS</v>
      </c>
      <c r="G39" s="191" t="str">
        <f>IF(ISBLANK('Control Entry'!I21),"",'Control Entry'!I21)</f>
        <v/>
      </c>
      <c r="H39" s="192"/>
      <c r="I39" s="193"/>
      <c r="J39" s="157"/>
    </row>
    <row r="40" spans="2:10" ht="40" customHeight="1" x14ac:dyDescent="0.25">
      <c r="B40" s="158">
        <f>IF(ISBLANK(Distance Control_7),"",Control_7 Distance)</f>
        <v>145.1</v>
      </c>
      <c r="C40" s="159">
        <f>Control_7 Open_time</f>
        <v>45213.511111111111</v>
      </c>
      <c r="D40" s="159">
        <f>Control_7 Close_time</f>
        <v>45213.736111111117</v>
      </c>
      <c r="E40" s="156" t="str">
        <f>IF(ISBLANK(Locale Control_7),"",Locale Control_7)</f>
        <v>COLWOOD</v>
      </c>
      <c r="F40" s="156" t="str">
        <f>IF(ISBLANK(Control_7 Establishment_2),"",Control_7 Establishment_2)</f>
        <v>Peninsula Coop</v>
      </c>
      <c r="G40" s="194" t="str">
        <f>IF(ISBLANK('Control Entry'!J21),"",'Control Entry'!J21)</f>
        <v/>
      </c>
      <c r="H40" s="195"/>
      <c r="I40" s="196"/>
      <c r="J40" s="160"/>
    </row>
    <row r="41" spans="2:10" ht="40" customHeight="1" thickBot="1" x14ac:dyDescent="0.3">
      <c r="B41" s="161"/>
      <c r="C41" s="167">
        <f>Control_7 Open_time</f>
        <v>45213.511111111111</v>
      </c>
      <c r="D41" s="167">
        <f>Control_7 Close_time</f>
        <v>45213.736111111117</v>
      </c>
      <c r="E41" s="162"/>
      <c r="F41" s="163" t="str">
        <f>IF(ISBLANK(Control_7 Establishment_3),"",Control_7 Establishment_3)</f>
        <v>321 Wale Rd</v>
      </c>
      <c r="G41" s="188" t="str">
        <f>IF(ISBLANK('Control Entry'!K21),"",'Control Entry'!K21)</f>
        <v/>
      </c>
      <c r="H41" s="189"/>
      <c r="I41" s="190"/>
      <c r="J41" s="164"/>
    </row>
    <row r="42" spans="2:10" ht="40" customHeight="1" x14ac:dyDescent="0.25">
      <c r="B42" s="154"/>
      <c r="C42" s="166">
        <f>Control_8 Open_time</f>
        <v>45213.518055555556</v>
      </c>
      <c r="D42" s="166">
        <f>Control_8 Close_time</f>
        <v>45213.751388888893</v>
      </c>
      <c r="E42" s="165"/>
      <c r="F42" s="156" t="str">
        <f>IF(ISBLANK(Control_8 Establishment_1),"",Control_8 Establishment_1)</f>
        <v>INFORMATION</v>
      </c>
      <c r="G42" s="191" t="str">
        <f>IF(ISBLANK('Control Entry'!I22),"",'Control Entry'!I22)</f>
        <v>Large vertical sign on corner of building</v>
      </c>
      <c r="H42" s="192"/>
      <c r="I42" s="193"/>
      <c r="J42" s="157"/>
    </row>
    <row r="43" spans="2:10" ht="40" customHeight="1" x14ac:dyDescent="0.25">
      <c r="B43" s="158">
        <f>IF(ISBLANK(Distance Control_8),"",Control_8 Distance)</f>
        <v>150.5</v>
      </c>
      <c r="C43" s="159">
        <f>Control_8 Open_time</f>
        <v>45213.518055555556</v>
      </c>
      <c r="D43" s="159">
        <f>Control_8 Close_time</f>
        <v>45213.751388888893</v>
      </c>
      <c r="E43" s="156" t="str">
        <f>IF(ISBLANK(Locale Control_8),"",Locale Control_8)</f>
        <v>LANGFORD</v>
      </c>
      <c r="F43" s="156" t="str">
        <f>IF(ISBLANK(Control_8 Establishment_2),"",Control_8 Establishment_2)</f>
        <v>Goldstream Ave U-turn loop</v>
      </c>
      <c r="G43" s="194" t="str">
        <f>IF(ISBLANK('Control Entry'!J22),"",'Control Entry'!J22)</f>
        <v>First word</v>
      </c>
      <c r="H43" s="195"/>
      <c r="I43" s="196"/>
      <c r="J43" s="160"/>
    </row>
    <row r="44" spans="2:10" ht="40" customHeight="1" thickBot="1" x14ac:dyDescent="0.3">
      <c r="B44" s="161"/>
      <c r="C44" s="167">
        <f>Control_8 Open_time</f>
        <v>45213.518055555556</v>
      </c>
      <c r="D44" s="167">
        <f>Control_8 Close_time</f>
        <v>45213.751388888893</v>
      </c>
      <c r="E44" s="162"/>
      <c r="F44" s="163" t="str">
        <f>IF(ISBLANK(Control_8 Establishment_3),"",Control_8 Establishment_3)</f>
        <v/>
      </c>
      <c r="G44" s="188" t="str">
        <f>IF(ISBLANK('Control Entry'!K22),"",'Control Entry'!K22)</f>
        <v>________sideatthe lake.com</v>
      </c>
      <c r="H44" s="189"/>
      <c r="I44" s="190"/>
      <c r="J44" s="164"/>
    </row>
    <row r="45" spans="2:10" ht="40" customHeight="1" x14ac:dyDescent="0.25">
      <c r="B45" s="154"/>
      <c r="C45" s="166">
        <f>Control_9 Open_time</f>
        <v>45213.572916666672</v>
      </c>
      <c r="D45" s="166">
        <f>Control_9 Close_time</f>
        <v>45213.876388888893</v>
      </c>
      <c r="E45" s="165"/>
      <c r="F45" s="156" t="str">
        <f>IF(ISBLANK(Control_9 Establishment_1),"",Control_9 Establishment_1)</f>
        <v>INFORMATION</v>
      </c>
      <c r="G45" s="191" t="str">
        <f>IF(ISBLANK('Control Entry'!I23),"",'Control Entry'!I23)</f>
        <v>Concrete posts beside path</v>
      </c>
      <c r="H45" s="192"/>
      <c r="I45" s="193"/>
      <c r="J45" s="157"/>
    </row>
    <row r="46" spans="2:10" ht="40" customHeight="1" x14ac:dyDescent="0.25">
      <c r="B46" s="158">
        <f>IF(ISBLANK(Distance Control_9),"",Control_9 Distance)</f>
        <v>195.4</v>
      </c>
      <c r="C46" s="159">
        <f>Control_9 Open_time</f>
        <v>45213.572916666672</v>
      </c>
      <c r="D46" s="159">
        <f>Control_9 Close_time</f>
        <v>45213.876388888893</v>
      </c>
      <c r="E46" s="156" t="str">
        <f>IF(ISBLANK(Locale Control_9),"",Locale Control_9)</f>
        <v>NORTH SAANICH</v>
      </c>
      <c r="F46" s="156" t="str">
        <f>IF(ISBLANK(Control_9 Establishment_2),"",Control_9 Establishment_2)</f>
        <v>Lost Airmen of the Empire Park</v>
      </c>
      <c r="G46" s="194" t="str">
        <f>IF(ISBLANK('Control Entry'!J23),"",'Control Entry'!J23)</f>
        <v>Right post plaque</v>
      </c>
      <c r="H46" s="195"/>
      <c r="I46" s="196"/>
      <c r="J46" s="160"/>
    </row>
    <row r="47" spans="2:10" ht="40" customHeight="1" thickBot="1" x14ac:dyDescent="0.3">
      <c r="B47" s="161"/>
      <c r="C47" s="167">
        <f>Control_9 Open_time</f>
        <v>45213.572916666672</v>
      </c>
      <c r="D47" s="167">
        <f>Control_9 Close_time</f>
        <v>45213.876388888893</v>
      </c>
      <c r="E47" s="162"/>
      <c r="F47" s="163" t="str">
        <f>IF(ISBLANK(Control_9 Establishment_3),"",Control_9 Establishment_3)</f>
        <v>The Flight Path, Mills Rd</v>
      </c>
      <c r="G47" s="188" t="str">
        <f>IF(ISBLANK('Control Entry'!K23),"",'Control Entry'!K23)</f>
        <v>Patricia Bay 1939 -    ___________</v>
      </c>
      <c r="H47" s="189"/>
      <c r="I47" s="190"/>
      <c r="J47" s="164"/>
    </row>
    <row r="48" spans="2:10" ht="40" customHeight="1" x14ac:dyDescent="0.25">
      <c r="B48" s="154"/>
      <c r="C48" s="166">
        <f>Control_10 Open_time</f>
        <v>45213.579861111117</v>
      </c>
      <c r="D48" s="166">
        <f>Control_10 Close_time</f>
        <v>45213.895833333336</v>
      </c>
      <c r="E48" s="165"/>
      <c r="F48" s="156" t="str">
        <f>IF(ISBLANK(Control_10 Establishment_1),"",Control_10 Establishment_1)</f>
        <v>BUSINESS</v>
      </c>
      <c r="G48" s="191" t="str">
        <f>IF(ISBLANK('Control Entry'!I24),"",'Control Entry'!I24)</f>
        <v/>
      </c>
      <c r="H48" s="192"/>
      <c r="I48" s="193"/>
      <c r="J48" s="157"/>
    </row>
    <row r="49" spans="2:11" ht="40" customHeight="1" x14ac:dyDescent="0.25">
      <c r="B49" s="158">
        <f>IF(ISBLANK(Distance Control_10),"",Control_10 Distance)</f>
        <v>201.3</v>
      </c>
      <c r="C49" s="159">
        <f>Control_10 Open_time</f>
        <v>45213.579861111117</v>
      </c>
      <c r="D49" s="159">
        <f>Control_10 Close_time</f>
        <v>45213.895833333336</v>
      </c>
      <c r="E49" s="156" t="str">
        <f>IF(ISBLANK(Locale Control_10),"",Locale Control_10)</f>
        <v>SIDNEY</v>
      </c>
      <c r="F49" s="156" t="str">
        <f>IF(ISBLANK(Control_10 Establishment_2),"",Control_10 Establishment_2)</f>
        <v>Tim Hortons</v>
      </c>
      <c r="G49" s="194" t="str">
        <f>IF(ISBLANK('Control Entry'!J24),"",'Control Entry'!J24)</f>
        <v/>
      </c>
      <c r="H49" s="195"/>
      <c r="I49" s="196"/>
      <c r="J49" s="160"/>
    </row>
    <row r="50" spans="2:11" ht="40" customHeight="1" thickBot="1" x14ac:dyDescent="0.3">
      <c r="B50" s="161"/>
      <c r="C50" s="167">
        <f>Control_10 Open_time</f>
        <v>45213.579861111117</v>
      </c>
      <c r="D50" s="167">
        <f>Control_10 Close_time</f>
        <v>45213.895833333336</v>
      </c>
      <c r="E50" s="162"/>
      <c r="F50" s="163" t="str">
        <f>IF(ISBLANK(Control_10 Establishment_3),"",Control_10 Establishment_3)</f>
        <v xml:space="preserve">2343 Beacon Ave </v>
      </c>
      <c r="G50" s="188" t="str">
        <f>IF(ISBLANK('Control Entry'!K24),"",'Control Entry'!K24)</f>
        <v/>
      </c>
      <c r="H50" s="189"/>
      <c r="I50" s="190"/>
      <c r="J50" s="164"/>
    </row>
    <row r="52" spans="2:11" ht="24" customHeight="1" x14ac:dyDescent="0.15">
      <c r="B52" s="206" t="s">
        <v>43</v>
      </c>
      <c r="C52" s="206"/>
      <c r="D52" s="206"/>
      <c r="E52" s="206"/>
      <c r="F52" s="206"/>
      <c r="I52" s="118" t="s">
        <v>89</v>
      </c>
      <c r="J52" s="146" t="str">
        <f>IF(ISBLANK('Control Entry'!F10),"",'Control Entry'!F10)</f>
        <v>‭(250) 213-3724‬</v>
      </c>
      <c r="K52" s="114"/>
    </row>
    <row r="54" spans="2:11" x14ac:dyDescent="0.15">
      <c r="B54" s="141" t="s">
        <v>92</v>
      </c>
      <c r="C54" s="142">
        <f>'Control Entry'!B3</f>
        <v>45167</v>
      </c>
    </row>
    <row r="55" spans="2:11" ht="23" x14ac:dyDescent="0.15">
      <c r="B55" s="118"/>
      <c r="C55" s="118"/>
      <c r="D55" s="118"/>
      <c r="E55" s="118"/>
      <c r="F55" s="114"/>
      <c r="G55" s="120"/>
      <c r="H55" s="120"/>
      <c r="I55" s="120"/>
      <c r="J55" s="114"/>
    </row>
    <row r="56" spans="2:11" x14ac:dyDescent="0.15">
      <c r="E56" s="2"/>
    </row>
    <row r="57" spans="2:11" x14ac:dyDescent="0.15">
      <c r="B57" s="116"/>
      <c r="C57" s="117"/>
      <c r="D57" s="117"/>
      <c r="E57" s="117"/>
      <c r="F57" s="204"/>
      <c r="G57" s="205"/>
      <c r="H57" s="205"/>
      <c r="I57" s="205"/>
      <c r="J57" s="205"/>
    </row>
  </sheetData>
  <sheetProtection algorithmName="SHA-512" hashValue="qhCI7qlZ3sWE0/GDsuKWd0mn8sMGb0kx/fYTJC4QTyOEF9Z7/yZa2UftHHi5IVmVcT+P/KfScljpAdON/7SBdQ==" saltValue="L6MCLNcUkjUwfGI4o+ZDxg==" spinCount="100000" sheet="1" objects="1" scenarios="1"/>
  <mergeCells count="50">
    <mergeCell ref="N17:O17"/>
    <mergeCell ref="F57:J57"/>
    <mergeCell ref="G48:I48"/>
    <mergeCell ref="G49:I49"/>
    <mergeCell ref="G50:I50"/>
    <mergeCell ref="G21:I21"/>
    <mergeCell ref="G22:I22"/>
    <mergeCell ref="G23:I23"/>
    <mergeCell ref="G24:I24"/>
    <mergeCell ref="G25:I25"/>
    <mergeCell ref="G29:I29"/>
    <mergeCell ref="G30:I30"/>
    <mergeCell ref="G31:I31"/>
    <mergeCell ref="B52:F52"/>
    <mergeCell ref="G45:I45"/>
    <mergeCell ref="G46:I46"/>
    <mergeCell ref="G47:I47"/>
    <mergeCell ref="G20:I20"/>
    <mergeCell ref="D12:E12"/>
    <mergeCell ref="D14:E14"/>
    <mergeCell ref="G27:I27"/>
    <mergeCell ref="G28:I28"/>
    <mergeCell ref="G26:I26"/>
    <mergeCell ref="C17:F17"/>
    <mergeCell ref="G37:I37"/>
    <mergeCell ref="L10:M10"/>
    <mergeCell ref="N10:O10"/>
    <mergeCell ref="G44:I44"/>
    <mergeCell ref="G38:I38"/>
    <mergeCell ref="G39:I39"/>
    <mergeCell ref="G40:I40"/>
    <mergeCell ref="G41:I41"/>
    <mergeCell ref="G42:I42"/>
    <mergeCell ref="G43:I43"/>
    <mergeCell ref="G32:I32"/>
    <mergeCell ref="G33:I33"/>
    <mergeCell ref="G34:I34"/>
    <mergeCell ref="G35:I35"/>
    <mergeCell ref="G36:I36"/>
    <mergeCell ref="I17:J17"/>
    <mergeCell ref="L17:M17"/>
    <mergeCell ref="C2:F2"/>
    <mergeCell ref="B19:J19"/>
    <mergeCell ref="B10:C10"/>
    <mergeCell ref="E10:G10"/>
    <mergeCell ref="C7:F8"/>
    <mergeCell ref="H7:H8"/>
    <mergeCell ref="E5:H6"/>
    <mergeCell ref="E3:H3"/>
    <mergeCell ref="E4:H4"/>
  </mergeCells>
  <printOptions horizontalCentered="1" verticalCentered="1"/>
  <pageMargins left="0.39370078740157483" right="0.39370078740157483" top="0.39370078740157483" bottom="0.39370078740157483" header="0.15748031496062992" footer="0.15748031496062992"/>
  <pageSetup scale="43"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topLeftCell="D1" zoomScale="92" zoomScaleNormal="92" zoomScalePageLayoutView="92" workbookViewId="0">
      <selection activeCell="L6" sqref="L6:U6"/>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7" customWidth="1"/>
    <col min="9" max="9" width="12" customWidth="1"/>
    <col min="12" max="14" width="9" customWidth="1"/>
    <col min="18" max="18" width="8.83203125" customWidth="1"/>
    <col min="19" max="19" width="10.5" customWidth="1"/>
  </cols>
  <sheetData>
    <row r="1" spans="1:22" ht="21" thickBot="1" x14ac:dyDescent="0.2">
      <c r="A1" s="177" t="s">
        <v>79</v>
      </c>
      <c r="B1" s="177"/>
      <c r="C1" s="177"/>
      <c r="D1" s="177"/>
      <c r="E1" s="177"/>
      <c r="F1" s="177"/>
      <c r="G1" s="177"/>
      <c r="H1" s="26" t="s">
        <v>29</v>
      </c>
    </row>
    <row r="2" spans="1:22" ht="33.75" customHeight="1" thickBot="1" x14ac:dyDescent="0.25">
      <c r="A2" s="72" t="s">
        <v>30</v>
      </c>
      <c r="B2" s="9" t="s">
        <v>3</v>
      </c>
      <c r="C2" s="9" t="s">
        <v>4</v>
      </c>
      <c r="D2" s="9" t="s">
        <v>25</v>
      </c>
      <c r="E2" s="9" t="s">
        <v>31</v>
      </c>
      <c r="F2" s="9" t="s">
        <v>59</v>
      </c>
      <c r="G2" s="72" t="s">
        <v>32</v>
      </c>
      <c r="H2" s="26" t="s">
        <v>29</v>
      </c>
      <c r="K2" s="214" t="s">
        <v>55</v>
      </c>
      <c r="L2" s="214"/>
      <c r="M2" s="214"/>
      <c r="N2" s="214"/>
      <c r="O2" s="214"/>
      <c r="P2" s="214"/>
      <c r="Q2" s="214"/>
      <c r="R2" s="214"/>
      <c r="S2" s="214"/>
      <c r="T2" s="214"/>
      <c r="U2" s="214"/>
    </row>
    <row r="3" spans="1:22" ht="36" customHeight="1" x14ac:dyDescent="0.45">
      <c r="A3" s="28"/>
      <c r="B3" s="29">
        <f>Control_1 Open_time</f>
        <v>45213.333333333336</v>
      </c>
      <c r="C3" s="29">
        <f>Control_1 Close_time</f>
        <v>45213.375</v>
      </c>
      <c r="D3" s="30"/>
      <c r="E3" s="31" t="str">
        <f>IF(ISBLANK(Control_1 Establishment_1),"",Control_1 Establishment_1)</f>
        <v>STAFFED</v>
      </c>
      <c r="F3" s="95" t="str">
        <f>IF(ISBLANK('Control Entry'!I15),"",'Control Entry'!I15)</f>
        <v/>
      </c>
      <c r="G3" s="96"/>
      <c r="H3" s="26" t="s">
        <v>29</v>
      </c>
      <c r="K3" s="13"/>
      <c r="O3" s="185" t="s">
        <v>33</v>
      </c>
      <c r="P3" s="185"/>
      <c r="Q3" s="185"/>
      <c r="R3" s="185"/>
      <c r="S3" s="83" t="str">
        <f>IF('Control Entry'!D28=0,"","#1")</f>
        <v/>
      </c>
      <c r="U3" s="41"/>
    </row>
    <row r="4" spans="1:22" ht="36" customHeight="1" x14ac:dyDescent="0.2">
      <c r="A4" s="37">
        <f>IF(ISBLANK(Distance Control_1),"",Control_1 Distance)</f>
        <v>0</v>
      </c>
      <c r="B4" s="38">
        <f>Control_1 Open_time</f>
        <v>45213.333333333336</v>
      </c>
      <c r="C4" s="38">
        <f>Control_1 Close_time</f>
        <v>45213.375</v>
      </c>
      <c r="D4" s="39" t="str">
        <f>IF(ISBLANK(Locale Control_1),"",Locale Control_1)</f>
        <v>SIDNEY</v>
      </c>
      <c r="E4" s="31" t="str">
        <f>IF(ISBLANK(Control_1 Establishment_2),"",Control_1 Establishment_2)</f>
        <v>Tim Hortons</v>
      </c>
      <c r="F4" s="95" t="str">
        <f>IF(ISBLANK('Control Entry'!J15),"",'Control Entry'!J15)</f>
        <v/>
      </c>
      <c r="G4" s="96"/>
      <c r="H4" s="26" t="s">
        <v>29</v>
      </c>
      <c r="K4" s="13"/>
      <c r="M4" s="186" t="str">
        <f>IF(ISBLANK(Brevet_Length),"",Brevet_Length&amp;" km Randonnée")</f>
        <v>200 km Randonnée</v>
      </c>
      <c r="N4" s="186"/>
      <c r="O4" s="186"/>
      <c r="P4" s="186"/>
      <c r="Q4" s="186"/>
      <c r="R4" s="186"/>
      <c r="S4" s="186"/>
      <c r="T4" s="186"/>
      <c r="U4" s="42"/>
    </row>
    <row r="5" spans="1:22" ht="36" customHeight="1" thickBot="1" x14ac:dyDescent="0.25">
      <c r="A5" s="32"/>
      <c r="B5" s="33">
        <f>Control_1 Open_time</f>
        <v>45213.333333333336</v>
      </c>
      <c r="C5" s="33">
        <f>Control_1 Close_time</f>
        <v>45213.375</v>
      </c>
      <c r="D5" s="34"/>
      <c r="E5" s="35" t="str">
        <f>IF(ISBLANK(Control_1 Establishment_3),"",Control_1 Establishment_3)</f>
        <v xml:space="preserve">2343 Beacon Ave </v>
      </c>
      <c r="F5" s="100" t="str">
        <f>IF(ISBLANK('Control Entry'!K15),"",'Control Entry'!K15)</f>
        <v/>
      </c>
      <c r="G5" s="99"/>
      <c r="H5" s="26" t="s">
        <v>29</v>
      </c>
      <c r="K5" s="13"/>
      <c r="M5" s="14"/>
      <c r="N5" s="225" t="s">
        <v>47</v>
      </c>
      <c r="O5" s="225"/>
      <c r="P5" s="60">
        <f>IF(ISBLANK(Brevet_Number),"",Brevet_Number)</f>
        <v>5278</v>
      </c>
      <c r="Q5" s="61"/>
      <c r="R5" s="213">
        <f>IF(ISBLANK('Control Entry'!$B10),"",'Control Entry'!$B10)</f>
        <v>45213</v>
      </c>
      <c r="S5" s="213"/>
      <c r="T5" s="213"/>
      <c r="U5" s="213"/>
      <c r="V5" s="43"/>
    </row>
    <row r="6" spans="1:22" ht="36" customHeight="1" x14ac:dyDescent="0.2">
      <c r="A6" s="28"/>
      <c r="B6" s="29">
        <f>Control_2 Open_time</f>
        <v>45213.370138888895</v>
      </c>
      <c r="C6" s="29">
        <f>Control_2 Close_time</f>
        <v>45213.4375</v>
      </c>
      <c r="D6" s="36"/>
      <c r="E6" s="31" t="str">
        <f>IF(ISBLANK(Control_2 Establishment_1),"",Control_2 Establishment_1)</f>
        <v>STAFFED</v>
      </c>
      <c r="F6" s="95" t="str">
        <f>IF(ISBLANK('Control Entry'!I16),"",'Control Entry'!I16)</f>
        <v/>
      </c>
      <c r="G6" s="96"/>
      <c r="H6" s="26" t="s">
        <v>29</v>
      </c>
      <c r="K6" s="13"/>
      <c r="L6" s="228" t="str">
        <f>IF(ISBLANK(Brevet_Description),"",Brevet_Description)</f>
        <v>2023 AGM -- Old Rails and Trails</v>
      </c>
      <c r="M6" s="228"/>
      <c r="N6" s="228"/>
      <c r="O6" s="228"/>
      <c r="P6" s="228"/>
      <c r="Q6" s="228"/>
      <c r="R6" s="228"/>
      <c r="S6" s="228"/>
      <c r="T6" s="228"/>
      <c r="U6" s="228"/>
    </row>
    <row r="7" spans="1:22" ht="36" customHeight="1" x14ac:dyDescent="0.2">
      <c r="A7" s="37">
        <f>IF(ISBLANK(Distance Control_2),"",Control_2 Distance)</f>
        <v>30.1</v>
      </c>
      <c r="B7" s="38">
        <f>Control_2 Open_time</f>
        <v>45213.370138888895</v>
      </c>
      <c r="C7" s="38">
        <f>Control_2 Close_time</f>
        <v>45213.4375</v>
      </c>
      <c r="D7" s="39" t="str">
        <f>IF(ISBLANK(Locale Control_2),"",Locale Control_2)</f>
        <v>VIEW ROYAL</v>
      </c>
      <c r="E7" s="52" t="str">
        <f>IF(ISBLANK(Control_2 Establishment_2),"",Control_2 Establishment_2)</f>
        <v>E&amp;N Trail at Galloping Goose Trail</v>
      </c>
      <c r="F7" s="97" t="str">
        <f>IF(ISBLANK('Control Entry'!J16),"",'Control Entry'!J16)</f>
        <v/>
      </c>
      <c r="G7" s="96"/>
      <c r="H7" s="26" t="s">
        <v>29</v>
      </c>
      <c r="J7" s="82"/>
      <c r="L7" s="82"/>
    </row>
    <row r="8" spans="1:22" ht="36" customHeight="1" thickBot="1" x14ac:dyDescent="0.25">
      <c r="A8" s="32"/>
      <c r="B8" s="33">
        <f>Control_2 Open_time</f>
        <v>45213.370138888895</v>
      </c>
      <c r="C8" s="33">
        <f>Control_2 Close_time</f>
        <v>45213.4375</v>
      </c>
      <c r="D8" s="34"/>
      <c r="E8" s="81" t="str">
        <f>IF(ISBLANK(Control_2 Establishment_3),"",Control_2 Establishment_3)</f>
        <v>Beneath highway 1 overpass</v>
      </c>
      <c r="F8" s="98" t="str">
        <f>IF(ISBLANK('Control Entry'!K16),"",'Control Entry'!K16)</f>
        <v/>
      </c>
      <c r="G8" s="99"/>
      <c r="H8" s="26" t="s">
        <v>29</v>
      </c>
      <c r="J8" s="14" t="s">
        <v>34</v>
      </c>
      <c r="L8" s="215"/>
      <c r="M8" s="215"/>
      <c r="N8" s="215"/>
      <c r="O8" s="215"/>
      <c r="P8" s="215"/>
      <c r="Q8" s="215"/>
      <c r="R8" s="27"/>
      <c r="S8" s="44" t="s">
        <v>46</v>
      </c>
      <c r="T8" s="222"/>
      <c r="U8" s="222"/>
    </row>
    <row r="9" spans="1:22" ht="36" customHeight="1" thickBot="1" x14ac:dyDescent="0.3">
      <c r="A9" s="28"/>
      <c r="B9" s="29">
        <f>Control_3 Open_time</f>
        <v>45213.39166666667</v>
      </c>
      <c r="C9" s="29">
        <f>Control_3 Close_time</f>
        <v>45213.474305555559</v>
      </c>
      <c r="D9" s="36"/>
      <c r="E9" s="31" t="str">
        <f>IF(ISBLANK(Control_3 Establishment_1),"",Control_3 Establishment_1)</f>
        <v>STAFFED</v>
      </c>
      <c r="F9" s="95" t="str">
        <f>IF(ISBLANK('Control Entry'!I17),"",'Control Entry'!I17)</f>
        <v/>
      </c>
      <c r="G9" s="96"/>
      <c r="H9" s="26" t="s">
        <v>29</v>
      </c>
      <c r="J9" s="14" t="s">
        <v>35</v>
      </c>
      <c r="K9" s="14"/>
      <c r="L9" s="230" t="s">
        <v>54</v>
      </c>
      <c r="M9" s="230"/>
      <c r="N9" s="230"/>
      <c r="O9" s="230"/>
      <c r="P9" s="230"/>
      <c r="Q9" s="230"/>
      <c r="R9" s="230"/>
      <c r="S9" s="230"/>
      <c r="T9" s="230"/>
      <c r="U9" s="230"/>
    </row>
    <row r="10" spans="1:22" ht="36" customHeight="1" thickBot="1" x14ac:dyDescent="0.3">
      <c r="A10" s="37">
        <f>IF(ISBLANK(Distance Control_3),"",Control_3 Distance)</f>
        <v>47.6</v>
      </c>
      <c r="B10" s="38">
        <f>Control_3 Open_time</f>
        <v>45213.39166666667</v>
      </c>
      <c r="C10" s="38">
        <f>Control_3 Close_time</f>
        <v>45213.474305555559</v>
      </c>
      <c r="D10" s="39" t="str">
        <f>IF(ISBLANK(Locale Control_3),"",Locale Control_3)</f>
        <v>SAANICH</v>
      </c>
      <c r="E10" s="31" t="str">
        <f>IF(ISBLANK(Control_3 Establishment_2),"",Control_3 Establishment_2)</f>
        <v xml:space="preserve">Harvest Lane Park </v>
      </c>
      <c r="F10" s="95" t="str">
        <f>IF(ISBLANK('Control Entry'!J17),"",'Control Entry'!J17)</f>
        <v/>
      </c>
      <c r="G10" s="96"/>
      <c r="H10" s="26" t="s">
        <v>29</v>
      </c>
      <c r="J10" s="14"/>
      <c r="K10" s="14"/>
      <c r="L10" s="224"/>
      <c r="M10" s="224"/>
      <c r="N10" s="224"/>
      <c r="O10" s="224"/>
      <c r="P10" s="224"/>
      <c r="Q10" s="224"/>
      <c r="R10" s="224"/>
      <c r="S10" s="224"/>
      <c r="T10" s="224"/>
      <c r="U10" s="224"/>
    </row>
    <row r="11" spans="1:22" ht="36" customHeight="1" thickBot="1" x14ac:dyDescent="0.3">
      <c r="A11" s="32"/>
      <c r="B11" s="33">
        <f>Control_3 Open_time</f>
        <v>45213.39166666667</v>
      </c>
      <c r="C11" s="33">
        <f>Control_3 Close_time</f>
        <v>45213.474305555559</v>
      </c>
      <c r="D11" s="34"/>
      <c r="E11" s="35" t="str">
        <f>IF(ISBLANK(Control_3 Establishment_3),"",Control_3 Establishment_3)</f>
        <v>1457 Harvest Ln</v>
      </c>
      <c r="F11" s="100" t="str">
        <f>IF(ISBLANK('Control Entry'!K17),"",'Control Entry'!K17)</f>
        <v/>
      </c>
      <c r="G11" s="99"/>
      <c r="H11" s="26" t="s">
        <v>29</v>
      </c>
      <c r="J11" s="14" t="s">
        <v>36</v>
      </c>
      <c r="K11" s="14"/>
      <c r="L11" s="224"/>
      <c r="M11" s="224"/>
      <c r="N11" s="224"/>
      <c r="O11" s="17"/>
      <c r="P11" s="17" t="s">
        <v>37</v>
      </c>
      <c r="Q11" s="17"/>
      <c r="R11" s="17"/>
      <c r="S11" s="211"/>
      <c r="T11" s="211"/>
      <c r="U11" s="211"/>
    </row>
    <row r="12" spans="1:22" ht="36" customHeight="1" thickBot="1" x14ac:dyDescent="0.3">
      <c r="A12" s="28"/>
      <c r="B12" s="29">
        <f>Control_4 Open_time</f>
        <v>45213.405555555561</v>
      </c>
      <c r="C12" s="29">
        <f>Control_4 Close_time</f>
        <v>45213.497222222228</v>
      </c>
      <c r="D12" s="36"/>
      <c r="E12" s="31" t="str">
        <f>IF(ISBLANK(Control_4 Establishment_1),"",Control_4 Establishment_1)</f>
        <v>INFORMATION</v>
      </c>
      <c r="F12" s="95" t="str">
        <f>IF(ISBLANK('Control Entry'!I18),"",'Control Entry'!I18)</f>
        <v>Entry arch to park,</v>
      </c>
      <c r="G12" s="96"/>
      <c r="H12" s="26" t="s">
        <v>29</v>
      </c>
      <c r="J12" s="14" t="s">
        <v>38</v>
      </c>
      <c r="K12" s="14"/>
      <c r="L12" s="224"/>
      <c r="M12" s="224"/>
      <c r="N12" s="224"/>
      <c r="O12" s="17"/>
      <c r="P12" s="17" t="s">
        <v>39</v>
      </c>
      <c r="Q12" s="17"/>
      <c r="R12" s="17"/>
      <c r="S12" s="211"/>
      <c r="T12" s="211"/>
      <c r="U12" s="211"/>
    </row>
    <row r="13" spans="1:22" ht="36" customHeight="1" thickBot="1" x14ac:dyDescent="0.3">
      <c r="A13" s="37">
        <f>IF(ISBLANK(Distance Control_4),"",Control_4 Distance)</f>
        <v>58.7</v>
      </c>
      <c r="B13" s="38">
        <f>Control_4 Open_time</f>
        <v>45213.405555555561</v>
      </c>
      <c r="C13" s="38">
        <f>Control_4 Close_time</f>
        <v>45213.497222222228</v>
      </c>
      <c r="D13" s="39" t="str">
        <f>IF(ISBLANK(Locale Control_4),"",Locale Control_4)</f>
        <v>OAK BAY</v>
      </c>
      <c r="E13" s="31" t="str">
        <f>IF(ISBLANK(Control_4 Establishment_2),"",Control_4 Establishment_2)</f>
        <v>Anderson Hill Park</v>
      </c>
      <c r="F13" s="95" t="str">
        <f>IF(ISBLANK('Control Entry'!J18),"",'Control Entry'!J18)</f>
        <v>How many signs on left post?</v>
      </c>
      <c r="G13" s="96"/>
      <c r="H13" s="26" t="s">
        <v>29</v>
      </c>
      <c r="J13" s="14" t="s">
        <v>40</v>
      </c>
      <c r="L13" s="233"/>
      <c r="M13" s="233"/>
      <c r="N13" s="233"/>
      <c r="O13" s="18"/>
      <c r="P13" s="17" t="s">
        <v>41</v>
      </c>
      <c r="Q13" s="17"/>
      <c r="R13" s="212"/>
      <c r="S13" s="212"/>
      <c r="T13" s="212"/>
      <c r="U13" s="212"/>
    </row>
    <row r="14" spans="1:22" ht="36" customHeight="1" thickBot="1" x14ac:dyDescent="0.25">
      <c r="A14" s="32"/>
      <c r="B14" s="33">
        <f>Control_4 Open_time</f>
        <v>45213.405555555561</v>
      </c>
      <c r="C14" s="33">
        <f>Control_4 Close_time</f>
        <v>45213.497222222228</v>
      </c>
      <c r="D14" s="34"/>
      <c r="E14" s="35" t="str">
        <f>IF(ISBLANK(Control_4 Establishment_3),"",Control_4 Establishment_3)</f>
        <v>572 Island Rd</v>
      </c>
      <c r="F14" s="100" t="str">
        <f>IF(ISBLANK('Control Entry'!K18),"",'Control Entry'!K18)</f>
        <v xml:space="preserve">1      2      3      4 </v>
      </c>
      <c r="G14" s="99"/>
      <c r="H14" s="26" t="s">
        <v>29</v>
      </c>
    </row>
    <row r="15" spans="1:22" ht="36" customHeight="1" x14ac:dyDescent="0.2">
      <c r="A15" s="28"/>
      <c r="B15" s="29">
        <f>Control_5 Open_time</f>
        <v>45213.415972222225</v>
      </c>
      <c r="C15" s="29">
        <f>Control_5 Close_time</f>
        <v>45213.520833333336</v>
      </c>
      <c r="D15" s="36"/>
      <c r="E15" s="31" t="str">
        <f>IF(ISBLANK(Control_5 Establishment_1),"",Control_5 Establishment_1)</f>
        <v>STAFFED</v>
      </c>
      <c r="F15" s="95" t="str">
        <f>IF(ISBLANK('Control Entry'!I19),"",'Control Entry'!I19)</f>
        <v/>
      </c>
      <c r="G15" s="96"/>
      <c r="H15" s="26" t="s">
        <v>29</v>
      </c>
      <c r="J15" s="14"/>
      <c r="L15" s="227" t="s">
        <v>58</v>
      </c>
      <c r="M15" s="227"/>
      <c r="N15" s="227"/>
      <c r="O15" s="227"/>
      <c r="P15" s="227"/>
      <c r="Q15" s="227"/>
      <c r="R15" s="227"/>
      <c r="S15" s="227"/>
      <c r="T15" s="227"/>
      <c r="U15" s="227"/>
    </row>
    <row r="16" spans="1:22" ht="36" customHeight="1" thickBot="1" x14ac:dyDescent="0.25">
      <c r="A16" s="37">
        <f>IF(ISBLANK(Distance Control_5),"",Control_5 Distance)</f>
        <v>67.400000000000006</v>
      </c>
      <c r="B16" s="38">
        <f>Control_5 Open_time</f>
        <v>45213.415972222225</v>
      </c>
      <c r="C16" s="38">
        <f>Control_5 Close_time</f>
        <v>45213.520833333336</v>
      </c>
      <c r="D16" s="39" t="str">
        <f>IF(ISBLANK(Locale Control_5),"",Locale Control_5)</f>
        <v>VICTORIA</v>
      </c>
      <c r="E16" s="31" t="str">
        <f>IF(ISBLANK(Control_5 Establishment_2),"",Control_5 Establishment_2)</f>
        <v>HMCS Malahat</v>
      </c>
      <c r="F16" s="95" t="str">
        <f>IF(ISBLANK('Control Entry'!J19),"",'Control Entry'!J19)</f>
        <v/>
      </c>
      <c r="G16" s="96"/>
      <c r="H16" s="26" t="s">
        <v>29</v>
      </c>
      <c r="L16" s="231"/>
      <c r="M16" s="231"/>
      <c r="N16" s="231"/>
      <c r="O16" s="231"/>
      <c r="P16" s="231"/>
      <c r="Q16" s="231"/>
      <c r="R16" s="231"/>
      <c r="S16" s="231"/>
      <c r="T16" s="231"/>
      <c r="U16" s="231"/>
    </row>
    <row r="17" spans="1:22" ht="36" customHeight="1" thickBot="1" x14ac:dyDescent="0.25">
      <c r="A17" s="32"/>
      <c r="B17" s="33">
        <f>Control_5 Open_time</f>
        <v>45213.415972222225</v>
      </c>
      <c r="C17" s="33">
        <f>Control_5 Close_time</f>
        <v>45213.520833333336</v>
      </c>
      <c r="D17" s="34"/>
      <c r="E17" s="35" t="str">
        <f>IF(ISBLANK(Control_5 Establishment_3),"",Control_5 Establishment_3)</f>
        <v>20 Huron St</v>
      </c>
      <c r="F17" s="100" t="str">
        <f>IF(ISBLANK('Control Entry'!K19),"",'Control Entry'!K19)</f>
        <v/>
      </c>
      <c r="G17" s="99"/>
      <c r="H17" s="26" t="s">
        <v>29</v>
      </c>
    </row>
    <row r="18" spans="1:22" ht="36" customHeight="1" x14ac:dyDescent="0.2">
      <c r="A18" s="28"/>
      <c r="B18" s="29">
        <f>Control_6 Open_time</f>
        <v>45213.472222222226</v>
      </c>
      <c r="C18" s="29">
        <f>Control_6 Close_time</f>
        <v>45213.648611111115</v>
      </c>
      <c r="D18" s="36"/>
      <c r="E18" s="31" t="str">
        <f>IF(ISBLANK(Control_6 Establishment_1),"",Control_6 Establishment_1)</f>
        <v>STAFFED</v>
      </c>
      <c r="F18" s="95" t="str">
        <f>IF(ISBLANK('Control Entry'!I20),"",'Control Entry'!I20)</f>
        <v/>
      </c>
      <c r="G18" s="96"/>
      <c r="H18" s="26" t="s">
        <v>29</v>
      </c>
    </row>
    <row r="19" spans="1:22" ht="36" customHeight="1" x14ac:dyDescent="0.2">
      <c r="A19" s="37">
        <f>IF(ISBLANK(Distance Control_6),"",Control_6 Distance)</f>
        <v>113.4</v>
      </c>
      <c r="B19" s="38">
        <f>Control_6 Open_time</f>
        <v>45213.472222222226</v>
      </c>
      <c r="C19" s="38">
        <f>Control_6 Close_time</f>
        <v>45213.648611111115</v>
      </c>
      <c r="D19" s="39" t="str">
        <f>IF(ISBLANK(Locale Control_6),"",Locale Control_6)</f>
        <v>SOOKE</v>
      </c>
      <c r="E19" s="31" t="str">
        <f>IF(ISBLANK(Control_6 Establishment_2),"",Control_6 Establishment_2)</f>
        <v>Sooke River Rd parking lot</v>
      </c>
      <c r="F19" s="95" t="str">
        <f>IF(ISBLANK('Control Entry'!J20),"",'Control Entry'!J20)</f>
        <v/>
      </c>
      <c r="G19" s="96"/>
      <c r="H19" s="26" t="s">
        <v>29</v>
      </c>
    </row>
    <row r="20" spans="1:22" ht="36" customHeight="1" thickBot="1" x14ac:dyDescent="0.25">
      <c r="A20" s="32"/>
      <c r="B20" s="33">
        <f>Control_6 Open_time</f>
        <v>45213.472222222226</v>
      </c>
      <c r="C20" s="33">
        <f>Control_6 Close_time</f>
        <v>45213.648611111115</v>
      </c>
      <c r="D20" s="34"/>
      <c r="E20" s="35" t="str">
        <f>IF(ISBLANK(Control_6 Establishment_3),"",Control_6 Establishment_3)</f>
        <v>Galloping Goose Trai</v>
      </c>
      <c r="F20" s="100" t="str">
        <f>IF(ISBLANK('Control Entry'!K20),"",'Control Entry'!K20)</f>
        <v/>
      </c>
      <c r="G20" s="99"/>
      <c r="H20" s="26" t="s">
        <v>29</v>
      </c>
      <c r="J20" s="58" t="s">
        <v>44</v>
      </c>
      <c r="K20" s="58"/>
      <c r="L20" s="223">
        <f>IF(ISBLANK('Control Entry'!B12),"",'Control Entry'!B12)</f>
        <v>45213</v>
      </c>
      <c r="M20" s="223"/>
      <c r="N20" s="223"/>
      <c r="P20" s="17" t="s">
        <v>0</v>
      </c>
      <c r="Q20" s="17"/>
      <c r="S20" s="226">
        <f>IF(ISBLANK('Control Entry'!B13),"",'Control Entry'!B13)</f>
        <v>0.33333333333333331</v>
      </c>
      <c r="T20" s="226"/>
      <c r="U20" s="226"/>
    </row>
    <row r="21" spans="1:22" ht="36" customHeight="1" x14ac:dyDescent="0.2">
      <c r="A21" s="28"/>
      <c r="B21" s="29">
        <f>Control_7 Open_time</f>
        <v>45213.511111111111</v>
      </c>
      <c r="C21" s="29">
        <f>Control_7 Close_time</f>
        <v>45213.736111111117</v>
      </c>
      <c r="D21" s="36"/>
      <c r="E21" s="31" t="str">
        <f>IF(ISBLANK(Control_7 Establishment_1),"",Control_7 Establishment_1)</f>
        <v>BUSINESS</v>
      </c>
      <c r="F21" s="95" t="str">
        <f>IF(ISBLANK('Control Entry'!I21),"",'Control Entry'!I21)</f>
        <v/>
      </c>
      <c r="G21" s="96"/>
      <c r="H21" s="26" t="s">
        <v>29</v>
      </c>
      <c r="J21" s="58"/>
      <c r="K21" s="58"/>
      <c r="L21" s="56"/>
      <c r="M21" s="56"/>
      <c r="N21" s="56"/>
      <c r="P21" s="17"/>
      <c r="Q21" s="17"/>
      <c r="R21" s="21"/>
      <c r="S21" s="59"/>
      <c r="T21" s="59"/>
      <c r="U21" s="59"/>
      <c r="V21" s="27"/>
    </row>
    <row r="22" spans="1:22" ht="36" customHeight="1" thickBot="1" x14ac:dyDescent="0.25">
      <c r="A22" s="37">
        <f>IF(ISBLANK(Distance Control_7),"",Control_7 Distance)</f>
        <v>145.1</v>
      </c>
      <c r="B22" s="38">
        <f>Control_7 Open_time</f>
        <v>45213.511111111111</v>
      </c>
      <c r="C22" s="38">
        <f>Control_7 Close_time</f>
        <v>45213.736111111117</v>
      </c>
      <c r="D22" s="39" t="str">
        <f>IF(ISBLANK(Locale Control_7),"",Locale Control_7)</f>
        <v>COLWOOD</v>
      </c>
      <c r="E22" s="31" t="str">
        <f>IF(ISBLANK(Control_7 Establishment_2),"",Control_7 Establishment_2)</f>
        <v>Peninsula Coop</v>
      </c>
      <c r="F22" s="95" t="str">
        <f>IF(ISBLANK('Control Entry'!J21),"",'Control Entry'!J21)</f>
        <v/>
      </c>
      <c r="G22" s="96"/>
      <c r="H22" s="26" t="s">
        <v>29</v>
      </c>
      <c r="J22" s="57" t="s">
        <v>45</v>
      </c>
      <c r="K22" s="57"/>
      <c r="L22" s="232"/>
      <c r="M22" s="232"/>
      <c r="N22" s="232"/>
      <c r="O22" s="18"/>
      <c r="P22" s="17" t="s">
        <v>1</v>
      </c>
      <c r="Q22" s="17"/>
      <c r="R22" s="18"/>
      <c r="S22" s="229"/>
      <c r="T22" s="229"/>
      <c r="U22" s="229"/>
    </row>
    <row r="23" spans="1:22" ht="36" customHeight="1" thickBot="1" x14ac:dyDescent="0.25">
      <c r="A23" s="32"/>
      <c r="B23" s="33">
        <f>Control_7 Open_time</f>
        <v>45213.511111111111</v>
      </c>
      <c r="C23" s="33">
        <f>Control_7 Close_time</f>
        <v>45213.736111111117</v>
      </c>
      <c r="D23" s="34"/>
      <c r="E23" s="35" t="str">
        <f>IF(ISBLANK(Control_7 Establishment_3),"",Control_7 Establishment_3)</f>
        <v>321 Wale Rd</v>
      </c>
      <c r="F23" s="100" t="str">
        <f>IF(ISBLANK('Control Entry'!K21),"",'Control Entry'!K21)</f>
        <v/>
      </c>
      <c r="G23" s="99"/>
      <c r="H23" s="26" t="s">
        <v>29</v>
      </c>
      <c r="J23" s="57"/>
      <c r="K23" s="57"/>
      <c r="L23" s="56"/>
      <c r="M23" s="56"/>
      <c r="N23" s="56"/>
      <c r="O23" s="21"/>
      <c r="P23" s="55"/>
      <c r="Q23" s="55"/>
      <c r="R23" s="21"/>
      <c r="S23" s="21"/>
      <c r="T23" s="21"/>
      <c r="U23" s="21"/>
      <c r="V23" s="27"/>
    </row>
    <row r="24" spans="1:22" ht="36" customHeight="1" thickBot="1" x14ac:dyDescent="0.25">
      <c r="A24" s="28"/>
      <c r="B24" s="29">
        <f>Control_8 Open_time</f>
        <v>45213.518055555556</v>
      </c>
      <c r="C24" s="29">
        <f>Control_8 Close_time</f>
        <v>45213.751388888893</v>
      </c>
      <c r="D24" s="36"/>
      <c r="E24" s="31" t="str">
        <f>IF(ISBLANK(Control_8 Establishment_1),"",Control_8 Establishment_1)</f>
        <v>INFORMATION</v>
      </c>
      <c r="F24" s="95" t="str">
        <f>IF(ISBLANK('Control Entry'!I22),"",'Control Entry'!I22)</f>
        <v>Large vertical sign on corner of building</v>
      </c>
      <c r="G24" s="96"/>
      <c r="H24" s="26" t="s">
        <v>29</v>
      </c>
      <c r="J24" s="229"/>
      <c r="K24" s="229"/>
      <c r="L24" s="229"/>
      <c r="M24" s="229"/>
      <c r="N24" s="229"/>
      <c r="O24" s="18"/>
      <c r="P24" s="17" t="s">
        <v>2</v>
      </c>
      <c r="Q24" s="17"/>
      <c r="R24" s="18"/>
      <c r="S24" s="229"/>
      <c r="T24" s="229"/>
      <c r="U24" s="229"/>
    </row>
    <row r="25" spans="1:22" ht="36" customHeight="1" x14ac:dyDescent="0.2">
      <c r="A25" s="37">
        <f>IF(ISBLANK(Distance Control_8),"",Control_8 Distance)</f>
        <v>150.5</v>
      </c>
      <c r="B25" s="38">
        <f>Control_8 Open_time</f>
        <v>45213.518055555556</v>
      </c>
      <c r="C25" s="38">
        <f>Control_8 Close_time</f>
        <v>45213.751388888893</v>
      </c>
      <c r="D25" s="39" t="str">
        <f>IF(ISBLANK(Locale Control_8),"",Locale Control_8)</f>
        <v>LANGFORD</v>
      </c>
      <c r="E25" s="31" t="str">
        <f>IF(ISBLANK(Control_8 Establishment_2),"",Control_8 Establishment_2)</f>
        <v>Goldstream Ave U-turn loop</v>
      </c>
      <c r="F25" s="95" t="str">
        <f>IF(ISBLANK('Control Entry'!J22),"",'Control Entry'!J22)</f>
        <v>First word</v>
      </c>
      <c r="G25" s="96"/>
      <c r="H25" s="26" t="s">
        <v>29</v>
      </c>
      <c r="J25" s="203" t="s">
        <v>17</v>
      </c>
      <c r="K25" s="203"/>
      <c r="L25" s="203"/>
      <c r="M25" s="203"/>
      <c r="N25" s="203"/>
      <c r="O25" s="50"/>
      <c r="P25" s="197"/>
      <c r="Q25" s="197"/>
      <c r="R25" s="50"/>
      <c r="S25" s="187"/>
      <c r="T25" s="187"/>
      <c r="U25" s="187"/>
      <c r="V25" s="187"/>
    </row>
    <row r="26" spans="1:22" ht="36" customHeight="1" thickBot="1" x14ac:dyDescent="0.25">
      <c r="A26" s="32"/>
      <c r="B26" s="33">
        <f>Control_8 Open_time</f>
        <v>45213.518055555556</v>
      </c>
      <c r="C26" s="33">
        <f>Control_8 Close_time</f>
        <v>45213.751388888893</v>
      </c>
      <c r="D26" s="34"/>
      <c r="E26" s="35" t="str">
        <f>IF(ISBLANK(Control_8 Establishment_3),"",Control_8 Establishment_3)</f>
        <v/>
      </c>
      <c r="F26" s="100" t="str">
        <f>IF(ISBLANK('Control Entry'!K22),"",'Control Entry'!K22)</f>
        <v>________sideatthe lake.com</v>
      </c>
      <c r="G26" s="99"/>
      <c r="H26" s="26" t="s">
        <v>29</v>
      </c>
    </row>
    <row r="27" spans="1:22" ht="36" customHeight="1" x14ac:dyDescent="0.2">
      <c r="A27" s="28"/>
      <c r="B27" s="29">
        <f>Control_9 Open_time</f>
        <v>45213.572916666672</v>
      </c>
      <c r="C27" s="29">
        <f>Control_9 Close_time</f>
        <v>45213.876388888893</v>
      </c>
      <c r="D27" s="36"/>
      <c r="E27" s="31" t="str">
        <f>IF(ISBLANK(Control_9 Establishment_1),"",Control_9 Establishment_1)</f>
        <v>INFORMATION</v>
      </c>
      <c r="F27" s="95" t="str">
        <f>IF(ISBLANK('Control Entry'!I23),"",'Control Entry'!I23)</f>
        <v>Concrete posts beside path</v>
      </c>
      <c r="G27" s="96"/>
      <c r="H27" s="26" t="s">
        <v>29</v>
      </c>
      <c r="K27" s="186" t="s">
        <v>56</v>
      </c>
      <c r="L27" s="197"/>
      <c r="M27" s="49" t="s">
        <v>57</v>
      </c>
      <c r="N27" s="197" t="s">
        <v>49</v>
      </c>
      <c r="O27" s="197"/>
      <c r="P27" s="197" t="s">
        <v>50</v>
      </c>
      <c r="Q27" s="197"/>
      <c r="R27" s="50" t="s">
        <v>51</v>
      </c>
      <c r="S27" s="187" t="s">
        <v>52</v>
      </c>
      <c r="T27" s="187"/>
      <c r="U27" s="187" t="s">
        <v>53</v>
      </c>
      <c r="V27" s="187"/>
    </row>
    <row r="28" spans="1:22" ht="36" customHeight="1" x14ac:dyDescent="0.2">
      <c r="A28" s="37">
        <f>IF(ISBLANK(Distance Control_9),"",Control_9 Distance)</f>
        <v>195.4</v>
      </c>
      <c r="B28" s="38">
        <f>Control_9 Open_time</f>
        <v>45213.572916666672</v>
      </c>
      <c r="C28" s="38">
        <f>Control_9 Close_time</f>
        <v>45213.876388888893</v>
      </c>
      <c r="D28" s="39" t="str">
        <f>IF(ISBLANK(Locale Control_9),"",Locale Control_9)</f>
        <v>NORTH SAANICH</v>
      </c>
      <c r="E28" s="31" t="str">
        <f>IF(ISBLANK(Control_9 Establishment_2),"",Control_9 Establishment_2)</f>
        <v>Lost Airmen of the Empire Park</v>
      </c>
      <c r="F28" s="95" t="str">
        <f>IF(ISBLANK('Control Entry'!J23),"",'Control Entry'!J23)</f>
        <v>Right post plaque</v>
      </c>
      <c r="G28" s="96"/>
      <c r="H28" s="26" t="s">
        <v>29</v>
      </c>
    </row>
    <row r="29" spans="1:22" ht="36" customHeight="1" thickBot="1" x14ac:dyDescent="0.25">
      <c r="A29" s="32"/>
      <c r="B29" s="33">
        <f>Control_9 Open_time</f>
        <v>45213.572916666672</v>
      </c>
      <c r="C29" s="33">
        <f>Control_9 Close_time</f>
        <v>45213.876388888893</v>
      </c>
      <c r="D29" s="34"/>
      <c r="E29" s="35" t="str">
        <f>IF(ISBLANK(Control_9 Establishment_3),"",Control_9 Establishment_3)</f>
        <v>The Flight Path, Mills Rd</v>
      </c>
      <c r="F29" s="100" t="str">
        <f>IF(ISBLANK('Control Entry'!K23),"",'Control Entry'!K23)</f>
        <v>Patricia Bay 1939 -    ___________</v>
      </c>
      <c r="G29" s="99"/>
      <c r="H29" s="26" t="s">
        <v>29</v>
      </c>
      <c r="M29" s="207" t="s">
        <v>42</v>
      </c>
      <c r="N29" s="207"/>
      <c r="O29" s="207"/>
      <c r="P29" s="207"/>
      <c r="Q29" s="207"/>
      <c r="R29" s="207"/>
      <c r="S29" s="207"/>
      <c r="T29" s="207"/>
      <c r="U29" s="53"/>
    </row>
    <row r="30" spans="1:22" ht="36" customHeight="1" x14ac:dyDescent="0.2">
      <c r="A30" s="28"/>
      <c r="B30" s="29">
        <f>Control_10 Open_time</f>
        <v>45213.579861111117</v>
      </c>
      <c r="C30" s="29">
        <f>Control_10 Close_time</f>
        <v>45213.895833333336</v>
      </c>
      <c r="D30" s="36"/>
      <c r="E30" s="31" t="str">
        <f>IF(ISBLANK(Control_10 Establishment_1),"",Control_10 Establishment_1)</f>
        <v>BUSINESS</v>
      </c>
      <c r="F30" s="95" t="str">
        <f>IF(ISBLANK('Control Entry'!I24),"",'Control Entry'!I24)</f>
        <v/>
      </c>
      <c r="G30" s="96"/>
      <c r="H30" s="26" t="s">
        <v>29</v>
      </c>
      <c r="M30" s="15"/>
      <c r="N30" s="19"/>
      <c r="O30" s="19"/>
      <c r="P30" s="20"/>
      <c r="Q30" s="102"/>
      <c r="R30" s="19"/>
      <c r="S30" s="19"/>
      <c r="T30" s="20"/>
      <c r="U30" s="21"/>
    </row>
    <row r="31" spans="1:22" ht="36" customHeight="1" x14ac:dyDescent="0.2">
      <c r="A31" s="37">
        <f>IF(ISBLANK(Distance Control_10),"",Control_10 Distance)</f>
        <v>201.3</v>
      </c>
      <c r="B31" s="38">
        <f>Control_10 Open_time</f>
        <v>45213.579861111117</v>
      </c>
      <c r="C31" s="38">
        <f>Control_10 Close_time</f>
        <v>45213.895833333336</v>
      </c>
      <c r="D31" s="39" t="str">
        <f>IF(ISBLANK(Locale Control_10),"",Locale Control_10)</f>
        <v>SIDNEY</v>
      </c>
      <c r="E31" s="31" t="str">
        <f>IF(ISBLANK(Control_10 Establishment_2),"",Control_10 Establishment_2)</f>
        <v>Tim Hortons</v>
      </c>
      <c r="F31" s="95" t="str">
        <f>IF(ISBLANK('Control Entry'!J24),"",'Control Entry'!J24)</f>
        <v/>
      </c>
      <c r="G31" s="96"/>
      <c r="H31" s="26" t="s">
        <v>29</v>
      </c>
      <c r="M31" s="16"/>
      <c r="N31" s="21"/>
      <c r="O31" s="21"/>
      <c r="P31" s="22"/>
      <c r="Q31" s="103"/>
      <c r="R31" s="21"/>
      <c r="S31" s="21"/>
      <c r="T31" s="22"/>
      <c r="U31" s="21"/>
    </row>
    <row r="32" spans="1:22" ht="36" customHeight="1" thickBot="1" x14ac:dyDescent="0.25">
      <c r="A32" s="32"/>
      <c r="B32" s="33">
        <f>Control_10 Open_time</f>
        <v>45213.579861111117</v>
      </c>
      <c r="C32" s="33">
        <f>Control_10 Close_time</f>
        <v>45213.895833333336</v>
      </c>
      <c r="D32" s="34"/>
      <c r="E32" s="35" t="str">
        <f>IF(ISBLANK(Control_10 Establishment_3),"",Control_10 Establishment_3)</f>
        <v xml:space="preserve">2343 Beacon Ave </v>
      </c>
      <c r="F32" s="100" t="str">
        <f>IF(ISBLANK('Control Entry'!K24),"",'Control Entry'!K24)</f>
        <v/>
      </c>
      <c r="G32" s="99"/>
      <c r="H32" s="26" t="s">
        <v>29</v>
      </c>
      <c r="M32" s="216" t="s">
        <v>81</v>
      </c>
      <c r="N32" s="217"/>
      <c r="O32" s="217"/>
      <c r="P32" s="218"/>
      <c r="Q32" s="219">
        <f>'Control Entry'!B3</f>
        <v>45167</v>
      </c>
      <c r="R32" s="220"/>
      <c r="S32" s="220"/>
      <c r="T32" s="221"/>
      <c r="U32" s="21"/>
    </row>
    <row r="33" spans="1:22" ht="36" customHeight="1" x14ac:dyDescent="0.2">
      <c r="A33" s="210" t="s">
        <v>43</v>
      </c>
      <c r="B33" s="210"/>
      <c r="C33" s="210"/>
      <c r="D33" s="210"/>
      <c r="E33" s="210"/>
      <c r="F33" s="210"/>
      <c r="G33" s="210"/>
      <c r="H33" s="40"/>
      <c r="I33" s="40"/>
      <c r="M33" s="208" t="s">
        <v>83</v>
      </c>
      <c r="N33" s="209"/>
      <c r="O33" s="209"/>
      <c r="P33" s="209"/>
      <c r="Q33" s="204">
        <f>'Control Entry'!B4</f>
        <v>45211</v>
      </c>
      <c r="R33" s="205"/>
      <c r="S33" s="205"/>
      <c r="T33" s="205"/>
      <c r="U33" s="91"/>
      <c r="V33" s="48"/>
    </row>
    <row r="34" spans="1:22" ht="36" customHeight="1" x14ac:dyDescent="0.2">
      <c r="A34"/>
      <c r="O34" s="46"/>
      <c r="P34" s="46"/>
      <c r="Q34" s="46"/>
      <c r="R34" s="45"/>
    </row>
    <row r="35" spans="1:22" ht="36" customHeight="1" x14ac:dyDescent="0.2">
      <c r="A35"/>
      <c r="N35" s="207"/>
      <c r="O35" s="207"/>
      <c r="P35" s="207"/>
      <c r="Q35" s="207"/>
      <c r="R35" s="207"/>
      <c r="S35" s="207"/>
      <c r="T35" s="207"/>
      <c r="U35" s="207"/>
    </row>
    <row r="36" spans="1:22" ht="36" customHeight="1" x14ac:dyDescent="0.15">
      <c r="A36"/>
      <c r="N36" s="27"/>
      <c r="O36" s="21"/>
      <c r="P36" s="21"/>
      <c r="Q36" s="21"/>
      <c r="R36" s="21"/>
      <c r="S36" s="21"/>
      <c r="T36" s="21"/>
      <c r="U36" s="21"/>
    </row>
    <row r="37" spans="1:22" ht="36" customHeight="1" x14ac:dyDescent="0.15">
      <c r="A37"/>
      <c r="N37" s="27"/>
      <c r="O37" s="21"/>
      <c r="P37" s="21"/>
      <c r="Q37" s="21"/>
      <c r="R37" s="21"/>
      <c r="S37" s="21"/>
      <c r="T37" s="21"/>
      <c r="U37" s="21"/>
    </row>
    <row r="38" spans="1:22" ht="36" customHeight="1" x14ac:dyDescent="0.2">
      <c r="A38"/>
      <c r="N38" s="54"/>
      <c r="O38" s="21"/>
      <c r="P38" s="21"/>
      <c r="Q38" s="21"/>
      <c r="R38" s="21"/>
      <c r="S38" s="21"/>
      <c r="T38" s="21"/>
      <c r="U38" s="21"/>
    </row>
    <row r="39" spans="1:22" ht="36" customHeight="1" x14ac:dyDescent="0.15">
      <c r="A39"/>
    </row>
    <row r="40" spans="1:22" ht="36" customHeight="1" x14ac:dyDescent="0.15">
      <c r="A40"/>
    </row>
  </sheetData>
  <sheetProtection formatCells="0" selectLockedCells="1"/>
  <mergeCells count="41">
    <mergeCell ref="N5:O5"/>
    <mergeCell ref="K27:L27"/>
    <mergeCell ref="J25:N25"/>
    <mergeCell ref="O3:R3"/>
    <mergeCell ref="S20:U20"/>
    <mergeCell ref="L15:U15"/>
    <mergeCell ref="L6:U6"/>
    <mergeCell ref="S24:U24"/>
    <mergeCell ref="J24:N24"/>
    <mergeCell ref="L9:U9"/>
    <mergeCell ref="L10:U10"/>
    <mergeCell ref="L16:U16"/>
    <mergeCell ref="L22:N22"/>
    <mergeCell ref="S22:U22"/>
    <mergeCell ref="L13:N13"/>
    <mergeCell ref="S11:U11"/>
    <mergeCell ref="A1:G1"/>
    <mergeCell ref="A33:G33"/>
    <mergeCell ref="M4:T4"/>
    <mergeCell ref="P25:Q25"/>
    <mergeCell ref="S25:T25"/>
    <mergeCell ref="S12:U12"/>
    <mergeCell ref="R13:U13"/>
    <mergeCell ref="R5:U5"/>
    <mergeCell ref="K2:U2"/>
    <mergeCell ref="L8:Q8"/>
    <mergeCell ref="M32:P32"/>
    <mergeCell ref="Q32:T32"/>
    <mergeCell ref="T8:U8"/>
    <mergeCell ref="L20:N20"/>
    <mergeCell ref="L11:N11"/>
    <mergeCell ref="L12:N12"/>
    <mergeCell ref="U25:V25"/>
    <mergeCell ref="N35:U35"/>
    <mergeCell ref="M29:T29"/>
    <mergeCell ref="N27:O27"/>
    <mergeCell ref="P27:Q27"/>
    <mergeCell ref="S27:T27"/>
    <mergeCell ref="U27:V27"/>
    <mergeCell ref="M33:P33"/>
    <mergeCell ref="Q33:T33"/>
  </mergeCells>
  <phoneticPr fontId="16" type="noConversion"/>
  <pageMargins left="0.2" right="0.2" top="0.2" bottom="0.2" header="0.51" footer="0.51"/>
  <pageSetup scale="45" orientation="landscape" horizontalDpi="4294967292" verticalDpi="4294967292"/>
  <ignoredErrors>
    <ignoredError sqref="L20" unlockedFormula="1"/>
  </ignoredErrors>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topLeftCell="C3" zoomScale="92" zoomScaleNormal="92" zoomScalePageLayoutView="92" workbookViewId="0">
      <selection activeCell="F3" sqref="F3"/>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7" customWidth="1"/>
    <col min="9" max="9" width="12" customWidth="1"/>
    <col min="12" max="14" width="9" customWidth="1"/>
    <col min="18" max="18" width="8.83203125" customWidth="1"/>
    <col min="19" max="19" width="10.5" customWidth="1"/>
  </cols>
  <sheetData>
    <row r="1" spans="1:22" ht="21" thickBot="1" x14ac:dyDescent="0.2">
      <c r="A1" s="177" t="s">
        <v>73</v>
      </c>
      <c r="B1" s="177"/>
      <c r="C1" s="177"/>
      <c r="D1" s="177"/>
      <c r="E1" s="177"/>
      <c r="F1" s="177"/>
      <c r="G1" s="177"/>
      <c r="H1" s="26" t="s">
        <v>29</v>
      </c>
    </row>
    <row r="2" spans="1:22" ht="33.75" customHeight="1" thickBot="1" x14ac:dyDescent="0.25">
      <c r="A2" s="72" t="s">
        <v>30</v>
      </c>
      <c r="B2" s="9" t="s">
        <v>3</v>
      </c>
      <c r="C2" s="9" t="s">
        <v>4</v>
      </c>
      <c r="D2" s="9" t="s">
        <v>25</v>
      </c>
      <c r="E2" s="9" t="s">
        <v>31</v>
      </c>
      <c r="F2" s="9" t="s">
        <v>59</v>
      </c>
      <c r="G2" s="72" t="s">
        <v>32</v>
      </c>
      <c r="H2" s="26" t="s">
        <v>29</v>
      </c>
      <c r="K2" s="214" t="s">
        <v>55</v>
      </c>
      <c r="L2" s="214"/>
      <c r="M2" s="214"/>
      <c r="N2" s="214"/>
      <c r="O2" s="214"/>
      <c r="P2" s="214"/>
      <c r="Q2" s="214"/>
      <c r="R2" s="214"/>
      <c r="S2" s="214"/>
      <c r="T2" s="214"/>
      <c r="U2" s="214"/>
    </row>
    <row r="3" spans="1:22" ht="36" customHeight="1" x14ac:dyDescent="0.45">
      <c r="A3" s="28"/>
      <c r="B3" s="29" t="str">
        <f>'Control Entry'!N28</f>
        <v/>
      </c>
      <c r="C3" s="29" t="str">
        <f>'Control Entry'!O28</f>
        <v/>
      </c>
      <c r="D3" s="30"/>
      <c r="E3" s="31" t="str">
        <f>IF(ISBLANK('Control Entry'!F28),"",'Control Entry'!F28)</f>
        <v/>
      </c>
      <c r="F3" s="95" t="str">
        <f>IF(ISBLANK('Control Entry'!I28),"",'Control Entry'!I28)</f>
        <v/>
      </c>
      <c r="G3" s="96"/>
      <c r="H3" s="26" t="s">
        <v>29</v>
      </c>
      <c r="K3" s="13"/>
      <c r="O3" s="185" t="s">
        <v>72</v>
      </c>
      <c r="P3" s="185"/>
      <c r="Q3" s="185"/>
      <c r="R3" s="185"/>
      <c r="S3" s="83" t="str">
        <f>IF('Control Entry'!D28=0,"","#2")</f>
        <v/>
      </c>
      <c r="U3" s="41"/>
    </row>
    <row r="4" spans="1:22" ht="36" customHeight="1" x14ac:dyDescent="0.2">
      <c r="A4" s="37" t="str">
        <f>IF(ISBLANK('Control Entry'!D28),"",'Control Entry'!D28)</f>
        <v/>
      </c>
      <c r="B4" s="38" t="str">
        <f>'Control Entry'!N28</f>
        <v/>
      </c>
      <c r="C4" s="38" t="str">
        <f>'Control Entry'!O28</f>
        <v/>
      </c>
      <c r="D4" s="39" t="str">
        <f>IF(ISBLANK('Control Entry'!E28),"",'Control Entry'!E28)</f>
        <v/>
      </c>
      <c r="E4" s="31" t="str">
        <f>IF(ISBLANK('Control Entry'!G28),"",'Control Entry'!G28)</f>
        <v/>
      </c>
      <c r="F4" s="95" t="str">
        <f>IF(ISBLANK('Control Entry'!J28),"",'Control Entry'!J28)</f>
        <v/>
      </c>
      <c r="G4" s="96"/>
      <c r="H4" s="26" t="s">
        <v>29</v>
      </c>
      <c r="K4" s="13"/>
      <c r="M4" s="186" t="str">
        <f>IF(ISBLANK(Brevet_Length),"",Brevet_Length&amp;" km Randonnée")</f>
        <v>200 km Randonnée</v>
      </c>
      <c r="N4" s="186"/>
      <c r="O4" s="186"/>
      <c r="P4" s="186"/>
      <c r="Q4" s="186"/>
      <c r="R4" s="186"/>
      <c r="S4" s="186"/>
      <c r="T4" s="186"/>
      <c r="U4" s="42"/>
    </row>
    <row r="5" spans="1:22" ht="36" customHeight="1" thickBot="1" x14ac:dyDescent="0.25">
      <c r="A5" s="32"/>
      <c r="B5" s="33" t="str">
        <f>'Control Entry'!N28</f>
        <v/>
      </c>
      <c r="C5" s="33" t="str">
        <f>'Control Entry'!O28</f>
        <v/>
      </c>
      <c r="D5" s="34"/>
      <c r="E5" s="35" t="str">
        <f>IF(ISBLANK('Control Entry'!H28),"",'Control Entry'!H28)</f>
        <v/>
      </c>
      <c r="F5" s="100" t="str">
        <f>IF(ISBLANK('Control Entry'!K28),"",'Control Entry'!K28)</f>
        <v/>
      </c>
      <c r="G5" s="99"/>
      <c r="H5" s="26" t="s">
        <v>29</v>
      </c>
      <c r="K5" s="13"/>
      <c r="M5" s="14"/>
      <c r="N5" s="225" t="s">
        <v>47</v>
      </c>
      <c r="O5" s="225"/>
      <c r="P5" s="60">
        <f>IF(ISBLANK(Brevet_Number),"",Brevet_Number)</f>
        <v>5278</v>
      </c>
      <c r="Q5" s="61"/>
      <c r="R5" s="213">
        <f>IF(ISBLANK('Control Entry'!$B10),"",'Control Entry'!$B10)</f>
        <v>45213</v>
      </c>
      <c r="S5" s="213"/>
      <c r="T5" s="213"/>
      <c r="U5" s="213"/>
      <c r="V5" s="43"/>
    </row>
    <row r="6" spans="1:22" ht="36" customHeight="1" x14ac:dyDescent="0.2">
      <c r="A6" s="28"/>
      <c r="B6" s="29" t="str">
        <f>'Control Entry'!N29</f>
        <v/>
      </c>
      <c r="C6" s="29" t="str">
        <f>'Control Entry'!O29</f>
        <v/>
      </c>
      <c r="D6" s="36"/>
      <c r="E6" s="31" t="str">
        <f>IF(ISBLANK('Control Entry'!F29),"",'Control Entry'!F29)</f>
        <v/>
      </c>
      <c r="F6" s="95" t="str">
        <f>IF(ISBLANK('Control Entry'!I29),"",'Control Entry'!I29)</f>
        <v/>
      </c>
      <c r="G6" s="96"/>
      <c r="H6" s="26" t="s">
        <v>29</v>
      </c>
      <c r="K6" s="13"/>
      <c r="L6" s="228" t="str">
        <f>IF(ISBLANK(Brevet_Description),"",Brevet_Description)</f>
        <v>2023 AGM -- Old Rails and Trails</v>
      </c>
      <c r="M6" s="228"/>
      <c r="N6" s="228"/>
      <c r="O6" s="228"/>
      <c r="P6" s="228"/>
      <c r="Q6" s="228"/>
      <c r="R6" s="228"/>
      <c r="S6" s="228"/>
      <c r="T6" s="228"/>
      <c r="U6" s="228"/>
    </row>
    <row r="7" spans="1:22" ht="36" customHeight="1" x14ac:dyDescent="0.2">
      <c r="A7" s="37" t="str">
        <f>IF(ISBLANK('Control Entry'!D29),"",'Control Entry'!D29)</f>
        <v/>
      </c>
      <c r="B7" s="38" t="str">
        <f>'Control Entry'!N29</f>
        <v/>
      </c>
      <c r="C7" s="38" t="str">
        <f>'Control Entry'!O29</f>
        <v/>
      </c>
      <c r="D7" s="39" t="str">
        <f>IF(ISBLANK('Control Entry'!E29),"",'Control Entry'!E29)</f>
        <v/>
      </c>
      <c r="E7" s="31" t="str">
        <f>IF(ISBLANK('Control Entry'!G29),"",'Control Entry'!G29)</f>
        <v/>
      </c>
      <c r="F7" s="95" t="str">
        <f>IF(ISBLANK('Control Entry'!J29),"",'Control Entry'!J29)</f>
        <v/>
      </c>
      <c r="G7" s="96"/>
      <c r="H7" s="26" t="s">
        <v>29</v>
      </c>
    </row>
    <row r="8" spans="1:22" ht="36" customHeight="1" thickBot="1" x14ac:dyDescent="0.25">
      <c r="A8" s="32"/>
      <c r="B8" s="33" t="str">
        <f>'Control Entry'!N29</f>
        <v/>
      </c>
      <c r="C8" s="33" t="str">
        <f>'Control Entry'!O29</f>
        <v/>
      </c>
      <c r="D8" s="34"/>
      <c r="E8" s="35" t="str">
        <f>IF(ISBLANK('Control Entry'!H29),"",'Control Entry'!H29)</f>
        <v/>
      </c>
      <c r="F8" s="100" t="str">
        <f>IF(ISBLANK('Control Entry'!K29),"",'Control Entry'!K29)</f>
        <v/>
      </c>
      <c r="G8" s="99"/>
      <c r="H8" s="26" t="s">
        <v>29</v>
      </c>
      <c r="J8" s="14" t="s">
        <v>34</v>
      </c>
      <c r="L8" s="215"/>
      <c r="M8" s="215"/>
      <c r="N8" s="215"/>
      <c r="O8" s="215"/>
      <c r="P8" s="215"/>
      <c r="Q8" s="215"/>
      <c r="R8" s="27"/>
      <c r="S8" s="44" t="s">
        <v>46</v>
      </c>
      <c r="T8" s="222"/>
      <c r="U8" s="222"/>
    </row>
    <row r="9" spans="1:22" ht="36" customHeight="1" thickBot="1" x14ac:dyDescent="0.3">
      <c r="A9" s="28"/>
      <c r="B9" s="29" t="str">
        <f>'Control Entry'!N30</f>
        <v/>
      </c>
      <c r="C9" s="29" t="str">
        <f>'Control Entry'!O30</f>
        <v/>
      </c>
      <c r="D9" s="36"/>
      <c r="E9" s="31" t="str">
        <f>IF(ISBLANK('Control Entry'!F30),"",'Control Entry'!F30)</f>
        <v/>
      </c>
      <c r="F9" s="95" t="str">
        <f>IF(ISBLANK('Control Entry'!I30),"",'Control Entry'!I30)</f>
        <v/>
      </c>
      <c r="G9" s="96"/>
      <c r="H9" s="26" t="s">
        <v>29</v>
      </c>
      <c r="J9" s="14" t="s">
        <v>35</v>
      </c>
      <c r="K9" s="14"/>
      <c r="L9" s="230" t="s">
        <v>54</v>
      </c>
      <c r="M9" s="230"/>
      <c r="N9" s="230"/>
      <c r="O9" s="230"/>
      <c r="P9" s="230"/>
      <c r="Q9" s="230"/>
      <c r="R9" s="230"/>
      <c r="S9" s="230"/>
      <c r="T9" s="230"/>
      <c r="U9" s="230"/>
    </row>
    <row r="10" spans="1:22" ht="36" customHeight="1" thickBot="1" x14ac:dyDescent="0.3">
      <c r="A10" s="37" t="str">
        <f>IF(ISBLANK('Control Entry'!D30),"",'Control Entry'!D30)</f>
        <v/>
      </c>
      <c r="B10" s="38" t="str">
        <f>'Control Entry'!N30</f>
        <v/>
      </c>
      <c r="C10" s="38" t="str">
        <f>'Control Entry'!O30</f>
        <v/>
      </c>
      <c r="D10" s="39" t="str">
        <f>IF(ISBLANK('Control Entry'!E30),"",'Control Entry'!E30)</f>
        <v/>
      </c>
      <c r="E10" s="31" t="str">
        <f>IF(ISBLANK('Control Entry'!G30),"",'Control Entry'!G30)</f>
        <v/>
      </c>
      <c r="F10" s="95" t="str">
        <f>IF(ISBLANK('Control Entry'!J30),"",'Control Entry'!J30)</f>
        <v/>
      </c>
      <c r="G10" s="96"/>
      <c r="H10" s="26" t="s">
        <v>29</v>
      </c>
      <c r="J10" s="14"/>
      <c r="K10" s="14"/>
      <c r="L10" s="224"/>
      <c r="M10" s="224"/>
      <c r="N10" s="224"/>
      <c r="O10" s="224"/>
      <c r="P10" s="224"/>
      <c r="Q10" s="224"/>
      <c r="R10" s="224"/>
      <c r="S10" s="224"/>
      <c r="T10" s="224"/>
      <c r="U10" s="224"/>
    </row>
    <row r="11" spans="1:22" ht="36" customHeight="1" thickBot="1" x14ac:dyDescent="0.3">
      <c r="A11" s="32"/>
      <c r="B11" s="33" t="str">
        <f>'Control Entry'!N30</f>
        <v/>
      </c>
      <c r="C11" s="33" t="str">
        <f>'Control Entry'!O30</f>
        <v/>
      </c>
      <c r="D11" s="34"/>
      <c r="E11" s="35" t="str">
        <f>IF(ISBLANK('Control Entry'!H30),"",'Control Entry'!H30)</f>
        <v/>
      </c>
      <c r="F11" s="100" t="str">
        <f>IF(ISBLANK('Control Entry'!K30),"",'Control Entry'!K30)</f>
        <v/>
      </c>
      <c r="G11" s="99"/>
      <c r="H11" s="26" t="s">
        <v>29</v>
      </c>
      <c r="J11" s="14" t="s">
        <v>36</v>
      </c>
      <c r="K11" s="14"/>
      <c r="L11" s="224"/>
      <c r="M11" s="224"/>
      <c r="N11" s="224"/>
      <c r="O11" s="17"/>
      <c r="P11" s="17" t="s">
        <v>37</v>
      </c>
      <c r="Q11" s="17"/>
      <c r="R11" s="17"/>
      <c r="S11" s="211"/>
      <c r="T11" s="211"/>
      <c r="U11" s="211"/>
    </row>
    <row r="12" spans="1:22" ht="36" customHeight="1" thickBot="1" x14ac:dyDescent="0.3">
      <c r="A12" s="28"/>
      <c r="B12" s="29" t="str">
        <f>'Control Entry'!N31</f>
        <v/>
      </c>
      <c r="C12" s="29" t="str">
        <f>'Control Entry'!O31</f>
        <v/>
      </c>
      <c r="D12" s="36"/>
      <c r="E12" s="31" t="str">
        <f>IF(ISBLANK('Control Entry'!F31),"",'Control Entry'!F31)</f>
        <v/>
      </c>
      <c r="F12" s="95" t="str">
        <f>IF(ISBLANK('Control Entry'!I31),"",'Control Entry'!I31)</f>
        <v/>
      </c>
      <c r="G12" s="96"/>
      <c r="H12" s="26" t="s">
        <v>29</v>
      </c>
      <c r="J12" s="14" t="s">
        <v>38</v>
      </c>
      <c r="K12" s="14"/>
      <c r="L12" s="224"/>
      <c r="M12" s="224"/>
      <c r="N12" s="224"/>
      <c r="O12" s="17"/>
      <c r="P12" s="17" t="s">
        <v>39</v>
      </c>
      <c r="Q12" s="17"/>
      <c r="R12" s="17"/>
      <c r="S12" s="211"/>
      <c r="T12" s="211"/>
      <c r="U12" s="211"/>
    </row>
    <row r="13" spans="1:22" ht="36" customHeight="1" thickBot="1" x14ac:dyDescent="0.3">
      <c r="A13" s="37" t="str">
        <f>IF(ISBLANK('Control Entry'!D31),"",'Control Entry'!D31)</f>
        <v/>
      </c>
      <c r="B13" s="38" t="str">
        <f>'Control Entry'!N31</f>
        <v/>
      </c>
      <c r="C13" s="38" t="str">
        <f>'Control Entry'!O31</f>
        <v/>
      </c>
      <c r="D13" s="39" t="str">
        <f>IF(ISBLANK('Control Entry'!E31),"",'Control Entry'!E31)</f>
        <v/>
      </c>
      <c r="E13" s="31" t="str">
        <f>IF(ISBLANK('Control Entry'!G31),"",'Control Entry'!G31)</f>
        <v/>
      </c>
      <c r="F13" s="95" t="str">
        <f>IF(ISBLANK('Control Entry'!J31),"",'Control Entry'!J31)</f>
        <v/>
      </c>
      <c r="G13" s="96"/>
      <c r="H13" s="26" t="s">
        <v>29</v>
      </c>
      <c r="J13" s="14" t="s">
        <v>40</v>
      </c>
      <c r="L13" s="233"/>
      <c r="M13" s="233"/>
      <c r="N13" s="233"/>
      <c r="O13" s="18"/>
      <c r="P13" s="17" t="s">
        <v>41</v>
      </c>
      <c r="Q13" s="17"/>
      <c r="R13" s="212"/>
      <c r="S13" s="212"/>
      <c r="T13" s="212"/>
      <c r="U13" s="212"/>
    </row>
    <row r="14" spans="1:22" ht="36" customHeight="1" thickBot="1" x14ac:dyDescent="0.25">
      <c r="A14" s="32"/>
      <c r="B14" s="33" t="str">
        <f>'Control Entry'!N31</f>
        <v/>
      </c>
      <c r="C14" s="33" t="str">
        <f>'Control Entry'!O31</f>
        <v/>
      </c>
      <c r="D14" s="34"/>
      <c r="E14" s="35" t="str">
        <f>IF(ISBLANK('Control Entry'!H31),"",'Control Entry'!H31)</f>
        <v/>
      </c>
      <c r="F14" s="100" t="str">
        <f>IF(ISBLANK('Control Entry'!K31),"",'Control Entry'!K31)</f>
        <v/>
      </c>
      <c r="G14" s="99"/>
      <c r="H14" s="26" t="s">
        <v>29</v>
      </c>
    </row>
    <row r="15" spans="1:22" ht="36" customHeight="1" x14ac:dyDescent="0.2">
      <c r="A15" s="28"/>
      <c r="B15" s="29" t="str">
        <f>'Control Entry'!N32</f>
        <v/>
      </c>
      <c r="C15" s="29" t="str">
        <f>'Control Entry'!O32</f>
        <v/>
      </c>
      <c r="D15" s="36"/>
      <c r="E15" s="31" t="str">
        <f>IF(ISBLANK('Control Entry'!F32),"",'Control Entry'!F32)</f>
        <v/>
      </c>
      <c r="F15" s="95" t="str">
        <f>IF(ISBLANK('Control Entry'!I32),"",'Control Entry'!I32)</f>
        <v/>
      </c>
      <c r="G15" s="96"/>
      <c r="H15" s="26" t="s">
        <v>29</v>
      </c>
      <c r="J15" s="14"/>
      <c r="L15" s="227" t="s">
        <v>58</v>
      </c>
      <c r="M15" s="227"/>
      <c r="N15" s="227"/>
      <c r="O15" s="227"/>
      <c r="P15" s="227"/>
      <c r="Q15" s="227"/>
      <c r="R15" s="227"/>
      <c r="S15" s="227"/>
      <c r="T15" s="227"/>
      <c r="U15" s="227"/>
    </row>
    <row r="16" spans="1:22" ht="36" customHeight="1" thickBot="1" x14ac:dyDescent="0.25">
      <c r="A16" s="37" t="str">
        <f>IF(ISBLANK('Control Entry'!D32),"",'Control Entry'!D32)</f>
        <v/>
      </c>
      <c r="B16" s="38" t="str">
        <f>'Control Entry'!N32</f>
        <v/>
      </c>
      <c r="C16" s="38" t="str">
        <f>'Control Entry'!O32</f>
        <v/>
      </c>
      <c r="D16" s="39" t="str">
        <f>IF(ISBLANK('Control Entry'!E32),"",'Control Entry'!E32)</f>
        <v/>
      </c>
      <c r="E16" s="31" t="str">
        <f>IF(ISBLANK('Control Entry'!G32),"",'Control Entry'!G32)</f>
        <v/>
      </c>
      <c r="F16" s="95" t="str">
        <f>IF(ISBLANK('Control Entry'!J32),"",'Control Entry'!J32)</f>
        <v/>
      </c>
      <c r="G16" s="96"/>
      <c r="H16" s="26" t="s">
        <v>29</v>
      </c>
      <c r="L16" s="231"/>
      <c r="M16" s="231"/>
      <c r="N16" s="231"/>
      <c r="O16" s="231"/>
      <c r="P16" s="231"/>
      <c r="Q16" s="231"/>
      <c r="R16" s="231"/>
      <c r="S16" s="231"/>
      <c r="T16" s="231"/>
      <c r="U16" s="231"/>
    </row>
    <row r="17" spans="1:22" ht="36" customHeight="1" thickBot="1" x14ac:dyDescent="0.25">
      <c r="A17" s="32"/>
      <c r="B17" s="33" t="str">
        <f>'Control Entry'!N32</f>
        <v/>
      </c>
      <c r="C17" s="33" t="str">
        <f>'Control Entry'!O32</f>
        <v/>
      </c>
      <c r="D17" s="34"/>
      <c r="E17" s="35" t="str">
        <f>IF(ISBLANK('Control Entry'!H32),"",'Control Entry'!H32)</f>
        <v/>
      </c>
      <c r="F17" s="100" t="str">
        <f>IF(ISBLANK('Control Entry'!K32),"",'Control Entry'!K32)</f>
        <v/>
      </c>
      <c r="G17" s="99"/>
      <c r="H17" s="26" t="s">
        <v>29</v>
      </c>
    </row>
    <row r="18" spans="1:22" ht="36" customHeight="1" x14ac:dyDescent="0.2">
      <c r="A18" s="28"/>
      <c r="B18" s="29" t="str">
        <f>'Control Entry'!N33</f>
        <v/>
      </c>
      <c r="C18" s="29" t="str">
        <f>'Control Entry'!O33</f>
        <v/>
      </c>
      <c r="D18" s="36"/>
      <c r="E18" s="31" t="str">
        <f>IF(ISBLANK('Control Entry'!F33),"",'Control Entry'!F33)</f>
        <v/>
      </c>
      <c r="F18" s="95" t="str">
        <f>IF(ISBLANK('Control Entry'!I33),"",'Control Entry'!I33)</f>
        <v/>
      </c>
      <c r="G18" s="96"/>
      <c r="H18" s="26" t="s">
        <v>29</v>
      </c>
    </row>
    <row r="19" spans="1:22" ht="36" customHeight="1" x14ac:dyDescent="0.2">
      <c r="A19" s="37" t="str">
        <f>IF(ISBLANK('Control Entry'!D33),"",'Control Entry'!D33)</f>
        <v/>
      </c>
      <c r="B19" s="38" t="str">
        <f>'Control Entry'!N33</f>
        <v/>
      </c>
      <c r="C19" s="38" t="str">
        <f>'Control Entry'!O33</f>
        <v/>
      </c>
      <c r="D19" s="39" t="str">
        <f>IF(ISBLANK('Control Entry'!E33),"",'Control Entry'!E33)</f>
        <v/>
      </c>
      <c r="E19" s="31" t="str">
        <f>IF(ISBLANK('Control Entry'!G33),"",'Control Entry'!G33)</f>
        <v/>
      </c>
      <c r="F19" s="95" t="str">
        <f>IF(ISBLANK('Control Entry'!J33),"",'Control Entry'!J33)</f>
        <v/>
      </c>
      <c r="G19" s="96"/>
      <c r="H19" s="26" t="s">
        <v>29</v>
      </c>
    </row>
    <row r="20" spans="1:22" ht="36" customHeight="1" thickBot="1" x14ac:dyDescent="0.25">
      <c r="A20" s="32"/>
      <c r="B20" s="33" t="str">
        <f>'Control Entry'!N33</f>
        <v/>
      </c>
      <c r="C20" s="33" t="str">
        <f>'Control Entry'!O33</f>
        <v/>
      </c>
      <c r="D20" s="34"/>
      <c r="E20" s="35" t="str">
        <f>IF(ISBLANK('Control Entry'!H33),"",'Control Entry'!H33)</f>
        <v/>
      </c>
      <c r="F20" s="100" t="str">
        <f>IF(ISBLANK('Control Entry'!K33),"",'Control Entry'!K33)</f>
        <v/>
      </c>
      <c r="G20" s="99"/>
      <c r="H20" s="26" t="s">
        <v>29</v>
      </c>
      <c r="J20" s="58" t="s">
        <v>44</v>
      </c>
      <c r="K20" s="58"/>
      <c r="L20" s="234">
        <f>IF(ISBLANK('Control Entry'!B12),"",'Control Entry'!B12)</f>
        <v>45213</v>
      </c>
      <c r="M20" s="234"/>
      <c r="N20" s="234"/>
      <c r="P20" s="17" t="s">
        <v>0</v>
      </c>
      <c r="Q20" s="17"/>
      <c r="S20" s="226">
        <f>IF(ISBLANK('Control Entry'!B13),"",'Control Entry'!B13)</f>
        <v>0.33333333333333331</v>
      </c>
      <c r="T20" s="226"/>
      <c r="U20" s="226"/>
    </row>
    <row r="21" spans="1:22" ht="36" customHeight="1" x14ac:dyDescent="0.2">
      <c r="A21" s="28"/>
      <c r="B21" s="29" t="str">
        <f>'Control Entry'!N34</f>
        <v/>
      </c>
      <c r="C21" s="29" t="str">
        <f>'Control Entry'!O34</f>
        <v/>
      </c>
      <c r="D21" s="36"/>
      <c r="E21" s="31" t="str">
        <f>IF(ISBLANK('Control Entry'!F34),"",'Control Entry'!F34)</f>
        <v/>
      </c>
      <c r="F21" s="95" t="str">
        <f>IF(ISBLANK('Control Entry'!I34),"",'Control Entry'!I34)</f>
        <v/>
      </c>
      <c r="G21" s="96"/>
      <c r="H21" s="26" t="s">
        <v>29</v>
      </c>
      <c r="J21" s="235" t="s">
        <v>87</v>
      </c>
      <c r="K21" s="235"/>
      <c r="L21" s="235"/>
      <c r="M21" s="235"/>
      <c r="N21" s="235"/>
      <c r="O21" s="235"/>
      <c r="P21" s="235"/>
      <c r="Q21" s="235"/>
      <c r="R21" s="235"/>
      <c r="S21" s="235"/>
      <c r="T21" s="235"/>
      <c r="U21" s="235"/>
      <c r="V21" s="27"/>
    </row>
    <row r="22" spans="1:22" ht="36" customHeight="1" thickBot="1" x14ac:dyDescent="0.25">
      <c r="A22" s="37" t="str">
        <f>IF(ISBLANK('Control Entry'!D34),"",'Control Entry'!D34)</f>
        <v/>
      </c>
      <c r="B22" s="38" t="str">
        <f>'Control Entry'!N34</f>
        <v/>
      </c>
      <c r="C22" s="38" t="str">
        <f>'Control Entry'!O34</f>
        <v/>
      </c>
      <c r="D22" s="39" t="str">
        <f>IF(ISBLANK('Control Entry'!E34),"",'Control Entry'!E34)</f>
        <v/>
      </c>
      <c r="E22" s="31" t="str">
        <f>IF(ISBLANK('Control Entry'!G34),"",'Control Entry'!G34)</f>
        <v/>
      </c>
      <c r="F22" s="95" t="str">
        <f>IF(ISBLANK('Control Entry'!J34),"",'Control Entry'!J34)</f>
        <v/>
      </c>
      <c r="G22" s="96"/>
      <c r="H22" s="26" t="s">
        <v>29</v>
      </c>
      <c r="J22" s="79" t="s">
        <v>45</v>
      </c>
      <c r="K22" s="79"/>
      <c r="L22" s="232"/>
      <c r="M22" s="232"/>
      <c r="N22" s="232"/>
      <c r="O22" s="18"/>
      <c r="P22" s="17" t="s">
        <v>1</v>
      </c>
      <c r="Q22" s="17"/>
      <c r="R22" s="18"/>
      <c r="S22" s="229"/>
      <c r="T22" s="229"/>
      <c r="U22" s="229"/>
    </row>
    <row r="23" spans="1:22" ht="36" customHeight="1" thickBot="1" x14ac:dyDescent="0.25">
      <c r="A23" s="32"/>
      <c r="B23" s="33" t="str">
        <f>'Control Entry'!N34</f>
        <v/>
      </c>
      <c r="C23" s="33" t="str">
        <f>'Control Entry'!O34</f>
        <v/>
      </c>
      <c r="D23" s="34"/>
      <c r="E23" s="35" t="str">
        <f>IF(ISBLANK('Control Entry'!H34),"",'Control Entry'!H34)</f>
        <v/>
      </c>
      <c r="F23" s="100" t="str">
        <f>IF(ISBLANK('Control Entry'!K34),"",'Control Entry'!K34)</f>
        <v/>
      </c>
      <c r="G23" s="99"/>
      <c r="H23" s="26" t="s">
        <v>29</v>
      </c>
      <c r="J23" s="79"/>
      <c r="K23" s="79"/>
      <c r="L23" s="56"/>
      <c r="M23" s="56"/>
      <c r="N23" s="56"/>
      <c r="O23" s="21"/>
      <c r="P23" s="55"/>
      <c r="Q23" s="55"/>
      <c r="R23" s="21"/>
      <c r="S23" s="21"/>
      <c r="T23" s="21"/>
      <c r="U23" s="21"/>
      <c r="V23" s="27"/>
    </row>
    <row r="24" spans="1:22" ht="36" customHeight="1" thickBot="1" x14ac:dyDescent="0.25">
      <c r="A24" s="28"/>
      <c r="B24" s="29" t="str">
        <f>'Control Entry'!N35</f>
        <v/>
      </c>
      <c r="C24" s="29" t="str">
        <f>'Control Entry'!O35</f>
        <v/>
      </c>
      <c r="D24" s="36"/>
      <c r="E24" s="31" t="str">
        <f>IF(ISBLANK('Control Entry'!F35),"",'Control Entry'!F35)</f>
        <v/>
      </c>
      <c r="F24" s="95" t="str">
        <f>IF(ISBLANK('Control Entry'!I35),"",'Control Entry'!I35)</f>
        <v/>
      </c>
      <c r="G24" s="96"/>
      <c r="H24" s="26" t="s">
        <v>29</v>
      </c>
      <c r="J24" s="229"/>
      <c r="K24" s="229"/>
      <c r="L24" s="229"/>
      <c r="M24" s="229"/>
      <c r="N24" s="229"/>
      <c r="O24" s="18"/>
      <c r="P24" s="17" t="s">
        <v>2</v>
      </c>
      <c r="Q24" s="17"/>
      <c r="R24" s="18"/>
      <c r="S24" s="229"/>
      <c r="T24" s="229"/>
      <c r="U24" s="229"/>
    </row>
    <row r="25" spans="1:22" ht="36" customHeight="1" x14ac:dyDescent="0.2">
      <c r="A25" s="37" t="str">
        <f>IF(ISBLANK('Control Entry'!D35),"",'Control Entry'!D35)</f>
        <v/>
      </c>
      <c r="B25" s="38" t="str">
        <f>'Control Entry'!N35</f>
        <v/>
      </c>
      <c r="C25" s="38" t="str">
        <f>'Control Entry'!O35</f>
        <v/>
      </c>
      <c r="D25" s="39" t="str">
        <f>IF(ISBLANK('Control Entry'!E35),"",'Control Entry'!E35)</f>
        <v/>
      </c>
      <c r="E25" s="31" t="str">
        <f>IF(ISBLANK('Control Entry'!G35),"",'Control Entry'!G35)</f>
        <v/>
      </c>
      <c r="F25" s="95" t="str">
        <f>IF(ISBLANK('Control Entry'!J35),"",'Control Entry'!J35)</f>
        <v/>
      </c>
      <c r="G25" s="96"/>
      <c r="H25" s="26" t="s">
        <v>29</v>
      </c>
      <c r="J25" s="203" t="s">
        <v>17</v>
      </c>
      <c r="K25" s="203"/>
      <c r="L25" s="203"/>
      <c r="M25" s="203"/>
      <c r="N25" s="203"/>
      <c r="O25" s="50"/>
      <c r="P25" s="197"/>
      <c r="Q25" s="197"/>
      <c r="R25" s="50"/>
      <c r="S25" s="187"/>
      <c r="T25" s="187"/>
      <c r="U25" s="187"/>
      <c r="V25" s="187"/>
    </row>
    <row r="26" spans="1:22" ht="36" customHeight="1" thickBot="1" x14ac:dyDescent="0.25">
      <c r="A26" s="32"/>
      <c r="B26" s="33" t="str">
        <f>'Control Entry'!N35</f>
        <v/>
      </c>
      <c r="C26" s="33" t="str">
        <f>'Control Entry'!O35</f>
        <v/>
      </c>
      <c r="D26" s="34"/>
      <c r="E26" s="35" t="str">
        <f>IF(ISBLANK('Control Entry'!H35),"",'Control Entry'!H35)</f>
        <v/>
      </c>
      <c r="F26" s="100" t="str">
        <f>IF(ISBLANK('Control Entry'!K35),"",'Control Entry'!K35)</f>
        <v/>
      </c>
      <c r="G26" s="99"/>
      <c r="H26" s="26" t="s">
        <v>29</v>
      </c>
    </row>
    <row r="27" spans="1:22" ht="36" customHeight="1" x14ac:dyDescent="0.2">
      <c r="A27" s="28"/>
      <c r="B27" s="29" t="str">
        <f>'Control Entry'!N36</f>
        <v/>
      </c>
      <c r="C27" s="29" t="str">
        <f>'Control Entry'!O36</f>
        <v/>
      </c>
      <c r="D27" s="36"/>
      <c r="E27" s="31" t="str">
        <f>IF(ISBLANK('Control Entry'!F36),"",'Control Entry'!F36)</f>
        <v/>
      </c>
      <c r="F27" s="95" t="str">
        <f>IF(ISBLANK('Control Entry'!I36),"",'Control Entry'!I36)</f>
        <v/>
      </c>
      <c r="G27" s="96"/>
      <c r="H27" s="26" t="s">
        <v>29</v>
      </c>
      <c r="K27" s="186" t="s">
        <v>56</v>
      </c>
      <c r="L27" s="197"/>
      <c r="M27" s="49" t="s">
        <v>57</v>
      </c>
      <c r="N27" s="197" t="s">
        <v>49</v>
      </c>
      <c r="O27" s="197"/>
      <c r="P27" s="197" t="s">
        <v>50</v>
      </c>
      <c r="Q27" s="197"/>
      <c r="R27" s="50" t="s">
        <v>51</v>
      </c>
      <c r="S27" s="187" t="s">
        <v>52</v>
      </c>
      <c r="T27" s="187"/>
      <c r="U27" s="187" t="s">
        <v>53</v>
      </c>
      <c r="V27" s="187"/>
    </row>
    <row r="28" spans="1:22" ht="36" customHeight="1" x14ac:dyDescent="0.2">
      <c r="A28" s="37" t="str">
        <f>IF(ISBLANK('Control Entry'!D36),"",'Control Entry'!D36)</f>
        <v/>
      </c>
      <c r="B28" s="38" t="str">
        <f>'Control Entry'!N36</f>
        <v/>
      </c>
      <c r="C28" s="38" t="str">
        <f>'Control Entry'!O36</f>
        <v/>
      </c>
      <c r="D28" s="39" t="str">
        <f>IF(ISBLANK('Control Entry'!E36),"",'Control Entry'!E36)</f>
        <v/>
      </c>
      <c r="E28" s="31" t="str">
        <f>IF(ISBLANK('Control Entry'!G36),"",'Control Entry'!G36)</f>
        <v/>
      </c>
      <c r="F28" s="95" t="str">
        <f>IF(ISBLANK('Control Entry'!J36),"",'Control Entry'!J36)</f>
        <v/>
      </c>
      <c r="G28" s="96"/>
      <c r="H28" s="26" t="s">
        <v>29</v>
      </c>
    </row>
    <row r="29" spans="1:22" ht="36" customHeight="1" thickBot="1" x14ac:dyDescent="0.25">
      <c r="A29" s="32"/>
      <c r="B29" s="33" t="str">
        <f>'Control Entry'!N36</f>
        <v/>
      </c>
      <c r="C29" s="33" t="str">
        <f>'Control Entry'!O36</f>
        <v/>
      </c>
      <c r="D29" s="34"/>
      <c r="E29" s="35" t="str">
        <f>IF(ISBLANK('Control Entry'!H36),"",'Control Entry'!H36)</f>
        <v/>
      </c>
      <c r="F29" s="100" t="str">
        <f>IF(ISBLANK('Control Entry'!K36),"",'Control Entry'!K36)</f>
        <v/>
      </c>
      <c r="G29" s="99"/>
      <c r="H29" s="26" t="s">
        <v>29</v>
      </c>
      <c r="M29" s="207" t="s">
        <v>42</v>
      </c>
      <c r="N29" s="207"/>
      <c r="O29" s="207"/>
      <c r="P29" s="207"/>
      <c r="Q29" s="207"/>
      <c r="R29" s="207"/>
      <c r="S29" s="207"/>
      <c r="T29" s="207"/>
      <c r="U29" s="53"/>
    </row>
    <row r="30" spans="1:22" ht="36" customHeight="1" x14ac:dyDescent="0.2">
      <c r="A30" s="28"/>
      <c r="B30" s="29" t="str">
        <f>'Control Entry'!N37</f>
        <v/>
      </c>
      <c r="C30" s="29" t="str">
        <f>'Control Entry'!O37</f>
        <v/>
      </c>
      <c r="D30" s="36"/>
      <c r="E30" s="31" t="str">
        <f>IF(ISBLANK('Control Entry'!F37),"",'Control Entry'!F37)</f>
        <v/>
      </c>
      <c r="F30" s="95" t="str">
        <f>IF(ISBLANK('Control Entry'!I37),"",'Control Entry'!I37)</f>
        <v/>
      </c>
      <c r="G30" s="96"/>
      <c r="H30" s="26" t="s">
        <v>29</v>
      </c>
      <c r="M30" s="15"/>
      <c r="N30" s="19"/>
      <c r="O30" s="19"/>
      <c r="P30" s="20"/>
      <c r="Q30" s="102"/>
      <c r="R30" s="19"/>
      <c r="S30" s="19"/>
      <c r="T30" s="20"/>
      <c r="U30" s="21"/>
    </row>
    <row r="31" spans="1:22" ht="36" customHeight="1" x14ac:dyDescent="0.2">
      <c r="A31" s="37" t="str">
        <f>IF(ISBLANK('Control Entry'!D37),"",'Control Entry'!D37)</f>
        <v/>
      </c>
      <c r="B31" s="38" t="str">
        <f>'Control Entry'!N37</f>
        <v/>
      </c>
      <c r="C31" s="38" t="str">
        <f>'Control Entry'!O37</f>
        <v/>
      </c>
      <c r="D31" s="39" t="str">
        <f>IF(ISBLANK('Control Entry'!E37),"",'Control Entry'!E37)</f>
        <v/>
      </c>
      <c r="E31" s="31" t="str">
        <f>IF(ISBLANK('Control Entry'!G37),"",'Control Entry'!G37)</f>
        <v/>
      </c>
      <c r="F31" s="95" t="str">
        <f>IF(ISBLANK('Control Entry'!J37),"",'Control Entry'!J37)</f>
        <v/>
      </c>
      <c r="G31" s="96"/>
      <c r="H31" s="26" t="s">
        <v>29</v>
      </c>
      <c r="M31" s="16"/>
      <c r="N31" s="21"/>
      <c r="O31" s="21"/>
      <c r="P31" s="22"/>
      <c r="Q31" s="103"/>
      <c r="R31" s="21"/>
      <c r="S31" s="21"/>
      <c r="T31" s="22"/>
      <c r="U31" s="21"/>
    </row>
    <row r="32" spans="1:22" ht="36" customHeight="1" thickBot="1" x14ac:dyDescent="0.25">
      <c r="A32" s="32"/>
      <c r="B32" s="33" t="str">
        <f>'Control Entry'!N37</f>
        <v/>
      </c>
      <c r="C32" s="33" t="str">
        <f>'Control Entry'!O37</f>
        <v/>
      </c>
      <c r="D32" s="34"/>
      <c r="E32" s="35" t="str">
        <f>IF(ISBLANK('Control Entry'!H37),"",'Control Entry'!H37)</f>
        <v/>
      </c>
      <c r="F32" s="100" t="str">
        <f>IF(ISBLANK('Control Entry'!K37),"",'Control Entry'!K37)</f>
        <v/>
      </c>
      <c r="G32" s="99"/>
      <c r="H32" s="26" t="s">
        <v>29</v>
      </c>
      <c r="M32" s="216" t="s">
        <v>81</v>
      </c>
      <c r="N32" s="217"/>
      <c r="O32" s="217"/>
      <c r="P32" s="218"/>
      <c r="Q32" s="219">
        <f>'Control Entry'!B3</f>
        <v>45167</v>
      </c>
      <c r="R32" s="220"/>
      <c r="S32" s="220"/>
      <c r="T32" s="221"/>
      <c r="U32" s="21"/>
    </row>
    <row r="33" spans="1:22" ht="36" customHeight="1" x14ac:dyDescent="0.2">
      <c r="A33" s="210" t="s">
        <v>43</v>
      </c>
      <c r="B33" s="210"/>
      <c r="C33" s="210"/>
      <c r="D33" s="210"/>
      <c r="E33" s="210"/>
      <c r="F33" s="210"/>
      <c r="G33" s="210"/>
      <c r="H33" s="40"/>
      <c r="I33" s="40"/>
      <c r="M33" s="208" t="s">
        <v>83</v>
      </c>
      <c r="N33" s="209"/>
      <c r="O33" s="209"/>
      <c r="P33" s="209"/>
      <c r="Q33" s="204">
        <f>'Control Entry'!B4</f>
        <v>45211</v>
      </c>
      <c r="R33" s="205"/>
      <c r="S33" s="205"/>
      <c r="T33" s="205"/>
      <c r="U33" s="91"/>
      <c r="V33" s="56"/>
    </row>
    <row r="34" spans="1:22" ht="36" customHeight="1" x14ac:dyDescent="0.2">
      <c r="A34"/>
      <c r="O34" s="46"/>
      <c r="P34" s="46"/>
      <c r="Q34" s="46"/>
      <c r="R34" s="45"/>
    </row>
    <row r="35" spans="1:22" ht="36" customHeight="1" x14ac:dyDescent="0.2">
      <c r="A35"/>
      <c r="N35" s="207"/>
      <c r="O35" s="207"/>
      <c r="P35" s="207"/>
      <c r="Q35" s="207"/>
      <c r="R35" s="207"/>
      <c r="S35" s="207"/>
      <c r="T35" s="207"/>
      <c r="U35" s="207"/>
    </row>
    <row r="36" spans="1:22" ht="36" customHeight="1" x14ac:dyDescent="0.15">
      <c r="A36"/>
      <c r="N36" s="27"/>
      <c r="O36" s="21"/>
      <c r="P36" s="21"/>
      <c r="Q36" s="21"/>
      <c r="R36" s="21"/>
      <c r="S36" s="21"/>
      <c r="T36" s="21"/>
      <c r="U36" s="21"/>
    </row>
    <row r="37" spans="1:22" ht="36" customHeight="1" x14ac:dyDescent="0.15">
      <c r="A37"/>
      <c r="N37" s="27"/>
      <c r="O37" s="21"/>
      <c r="P37" s="21"/>
      <c r="Q37" s="21"/>
      <c r="R37" s="21"/>
      <c r="S37" s="21"/>
      <c r="T37" s="21"/>
      <c r="U37" s="21"/>
    </row>
    <row r="38" spans="1:22" ht="36" customHeight="1" x14ac:dyDescent="0.2">
      <c r="A38"/>
      <c r="N38" s="54"/>
      <c r="O38" s="21"/>
      <c r="P38" s="21"/>
      <c r="Q38" s="21"/>
      <c r="R38" s="21"/>
      <c r="S38" s="21"/>
      <c r="T38" s="21"/>
      <c r="U38" s="21"/>
    </row>
    <row r="39" spans="1:22" ht="36" customHeight="1" x14ac:dyDescent="0.15">
      <c r="A39"/>
    </row>
    <row r="40" spans="1:22" ht="36" customHeight="1" x14ac:dyDescent="0.15">
      <c r="A40"/>
    </row>
  </sheetData>
  <sheetProtection algorithmName="SHA-512" hashValue="DiqJ+JOYBhoyZ1m99XU4D8NDihYKDATVeEm7KPe0KaI0+RIl/s0HliAQDBep4bratR5dvcZSaZLG/PV3ddwAYA==" saltValue="BtrAYkICphSvoTgltO5kCQ==" spinCount="100000" sheet="1" objects="1" scenarios="1" formatCells="0" selectLockedCells="1"/>
  <mergeCells count="42">
    <mergeCell ref="L16:U16"/>
    <mergeCell ref="L22:N22"/>
    <mergeCell ref="S22:U22"/>
    <mergeCell ref="L11:N11"/>
    <mergeCell ref="S11:U11"/>
    <mergeCell ref="L12:N12"/>
    <mergeCell ref="S12:U12"/>
    <mergeCell ref="L13:N13"/>
    <mergeCell ref="R13:U13"/>
    <mergeCell ref="J21:U21"/>
    <mergeCell ref="U27:V27"/>
    <mergeCell ref="M33:P33"/>
    <mergeCell ref="J24:N24"/>
    <mergeCell ref="A1:G1"/>
    <mergeCell ref="K2:U2"/>
    <mergeCell ref="M4:T4"/>
    <mergeCell ref="N5:O5"/>
    <mergeCell ref="R5:U5"/>
    <mergeCell ref="O3:R3"/>
    <mergeCell ref="S24:U24"/>
    <mergeCell ref="Q33:T33"/>
    <mergeCell ref="L20:N20"/>
    <mergeCell ref="L6:U6"/>
    <mergeCell ref="T8:U8"/>
    <mergeCell ref="L9:U9"/>
    <mergeCell ref="L10:U10"/>
    <mergeCell ref="M32:P32"/>
    <mergeCell ref="Q32:T32"/>
    <mergeCell ref="A33:G33"/>
    <mergeCell ref="N35:U35"/>
    <mergeCell ref="L8:Q8"/>
    <mergeCell ref="M29:T29"/>
    <mergeCell ref="L15:U15"/>
    <mergeCell ref="S20:U20"/>
    <mergeCell ref="J25:N25"/>
    <mergeCell ref="P25:Q25"/>
    <mergeCell ref="S25:T25"/>
    <mergeCell ref="U25:V25"/>
    <mergeCell ref="K27:L27"/>
    <mergeCell ref="N27:O27"/>
    <mergeCell ref="P27:Q27"/>
    <mergeCell ref="S27:T27"/>
  </mergeCells>
  <phoneticPr fontId="16" type="noConversion"/>
  <conditionalFormatting sqref="P22:U24">
    <cfRule type="expression" dxfId="14" priority="4">
      <formula>$S$3="#2"</formula>
    </cfRule>
  </conditionalFormatting>
  <conditionalFormatting sqref="K27:V27">
    <cfRule type="expression" dxfId="13" priority="3">
      <formula>$S$3="#2"</formula>
    </cfRule>
  </conditionalFormatting>
  <conditionalFormatting sqref="J22:N22">
    <cfRule type="expression" dxfId="12" priority="2">
      <formula>$S$3="#2"</formula>
    </cfRule>
  </conditionalFormatting>
  <conditionalFormatting sqref="J21:U21">
    <cfRule type="expression" dxfId="11" priority="1">
      <formula>$S$3&lt;&gt;"#2"</formula>
    </cfRule>
  </conditionalFormatting>
  <printOptions horizontalCentered="1" verticalCentered="1"/>
  <pageMargins left="0.2" right="0.2" top="0.2" bottom="0.2" header="0.51" footer="0.51"/>
  <pageSetup scale="44" orientation="landscape" horizontalDpi="4294967292" verticalDpi="4294967292"/>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409A-CD2B-D847-B15D-2D9B75969139}">
  <sheetPr>
    <pageSetUpPr fitToPage="1"/>
  </sheetPr>
  <dimension ref="A1:V40"/>
  <sheetViews>
    <sheetView showGridLines="0" topLeftCell="F1" zoomScale="92" zoomScaleNormal="92" zoomScalePageLayoutView="92" workbookViewId="0">
      <selection activeCell="F3" sqref="F3"/>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7" customWidth="1"/>
    <col min="9" max="9" width="12" customWidth="1"/>
    <col min="12" max="14" width="9" customWidth="1"/>
    <col min="18" max="18" width="8.83203125" customWidth="1"/>
    <col min="19" max="19" width="10.5" customWidth="1"/>
  </cols>
  <sheetData>
    <row r="1" spans="1:22" ht="21" thickBot="1" x14ac:dyDescent="0.2">
      <c r="A1" s="177" t="s">
        <v>73</v>
      </c>
      <c r="B1" s="177"/>
      <c r="C1" s="177"/>
      <c r="D1" s="177"/>
      <c r="E1" s="177"/>
      <c r="F1" s="177"/>
      <c r="G1" s="177"/>
      <c r="H1" s="26" t="s">
        <v>29</v>
      </c>
    </row>
    <row r="2" spans="1:22" ht="33.75" customHeight="1" thickBot="1" x14ac:dyDescent="0.25">
      <c r="A2" s="72" t="s">
        <v>30</v>
      </c>
      <c r="B2" s="9" t="s">
        <v>3</v>
      </c>
      <c r="C2" s="9" t="s">
        <v>4</v>
      </c>
      <c r="D2" s="9" t="s">
        <v>25</v>
      </c>
      <c r="E2" s="9" t="s">
        <v>31</v>
      </c>
      <c r="F2" s="9" t="s">
        <v>59</v>
      </c>
      <c r="G2" s="72" t="s">
        <v>32</v>
      </c>
      <c r="H2" s="26" t="s">
        <v>29</v>
      </c>
      <c r="K2" s="214" t="s">
        <v>55</v>
      </c>
      <c r="L2" s="214"/>
      <c r="M2" s="214"/>
      <c r="N2" s="214"/>
      <c r="O2" s="214"/>
      <c r="P2" s="214"/>
      <c r="Q2" s="214"/>
      <c r="R2" s="214"/>
      <c r="S2" s="214"/>
      <c r="T2" s="214"/>
      <c r="U2" s="214"/>
    </row>
    <row r="3" spans="1:22" ht="36" customHeight="1" x14ac:dyDescent="0.45">
      <c r="A3" s="28"/>
      <c r="B3" s="29" t="str">
        <f>'Control Entry'!N41</f>
        <v/>
      </c>
      <c r="C3" s="29" t="str">
        <f>'Control Entry'!O41</f>
        <v/>
      </c>
      <c r="D3" s="30"/>
      <c r="E3" s="31" t="str">
        <f>IF(ISBLANK('Control Entry'!F41),"",'Control Entry'!F41)</f>
        <v/>
      </c>
      <c r="F3" s="95" t="str">
        <f>IF(ISBLANK('Control Entry'!I41),"",'Control Entry'!I41)</f>
        <v/>
      </c>
      <c r="G3" s="96"/>
      <c r="H3" s="26" t="s">
        <v>29</v>
      </c>
      <c r="K3" s="13"/>
      <c r="O3" s="185" t="s">
        <v>72</v>
      </c>
      <c r="P3" s="185"/>
      <c r="Q3" s="185"/>
      <c r="R3" s="185"/>
      <c r="S3" s="83" t="str">
        <f>IF('Control Entry'!D41&lt;&gt;0,"#3",IF(AND('Control Entry'!D41=0,'Control Entry'!D54&lt;&gt;0),"#1",""))</f>
        <v/>
      </c>
      <c r="T3" s="84"/>
      <c r="U3" s="41"/>
    </row>
    <row r="4" spans="1:22" ht="36" customHeight="1" x14ac:dyDescent="0.2">
      <c r="A4" s="37" t="str">
        <f>IF(ISBLANK('Control Entry'!D41),"",'Control Entry'!D41)</f>
        <v/>
      </c>
      <c r="B4" s="38" t="str">
        <f>'Control Entry'!N41</f>
        <v/>
      </c>
      <c r="C4" s="38" t="str">
        <f>'Control Entry'!O41</f>
        <v/>
      </c>
      <c r="D4" s="39" t="str">
        <f>IF(ISBLANK('Control Entry'!E41),"",'Control Entry'!E41)</f>
        <v/>
      </c>
      <c r="E4" s="31" t="str">
        <f>IF(ISBLANK('Control Entry'!G41),"",'Control Entry'!G41)</f>
        <v/>
      </c>
      <c r="F4" s="95" t="str">
        <f>IF(ISBLANK('Control Entry'!J41),"",'Control Entry'!J41)</f>
        <v/>
      </c>
      <c r="G4" s="96"/>
      <c r="H4" s="26" t="s">
        <v>29</v>
      </c>
      <c r="K4" s="13"/>
      <c r="M4" s="186" t="str">
        <f>IF(ISBLANK(Brevet_Length),"",Brevet_Length&amp;" km Randonnée")</f>
        <v>200 km Randonnée</v>
      </c>
      <c r="N4" s="186"/>
      <c r="O4" s="186"/>
      <c r="P4" s="186"/>
      <c r="Q4" s="186"/>
      <c r="R4" s="186"/>
      <c r="S4" s="186"/>
      <c r="T4" s="186"/>
      <c r="U4" s="42"/>
    </row>
    <row r="5" spans="1:22" ht="36" customHeight="1" thickBot="1" x14ac:dyDescent="0.25">
      <c r="A5" s="32"/>
      <c r="B5" s="33" t="str">
        <f>'Control Entry'!N41</f>
        <v/>
      </c>
      <c r="C5" s="33" t="str">
        <f>'Control Entry'!O41</f>
        <v/>
      </c>
      <c r="D5" s="34"/>
      <c r="E5" s="35" t="str">
        <f>IF(ISBLANK('Control Entry'!H41),"",'Control Entry'!H41)</f>
        <v/>
      </c>
      <c r="F5" s="100" t="str">
        <f>IF(ISBLANK('Control Entry'!K41),"",'Control Entry'!K41)</f>
        <v/>
      </c>
      <c r="G5" s="99"/>
      <c r="H5" s="26" t="s">
        <v>29</v>
      </c>
      <c r="K5" s="13"/>
      <c r="M5" s="14"/>
      <c r="N5" s="225" t="s">
        <v>47</v>
      </c>
      <c r="O5" s="225"/>
      <c r="P5" s="60">
        <f>IF(ISBLANK(Brevet_Number),"",Brevet_Number)</f>
        <v>5278</v>
      </c>
      <c r="Q5" s="61"/>
      <c r="R5" s="213">
        <f>IF(ISBLANK('Control Entry'!$B10),"",'Control Entry'!$B10)</f>
        <v>45213</v>
      </c>
      <c r="S5" s="213"/>
      <c r="T5" s="213"/>
      <c r="U5" s="213"/>
      <c r="V5" s="43"/>
    </row>
    <row r="6" spans="1:22" ht="36" customHeight="1" x14ac:dyDescent="0.2">
      <c r="A6" s="28"/>
      <c r="B6" s="29" t="str">
        <f>'Control Entry'!N42</f>
        <v/>
      </c>
      <c r="C6" s="29" t="str">
        <f>'Control Entry'!O42</f>
        <v/>
      </c>
      <c r="D6" s="36"/>
      <c r="E6" s="31" t="str">
        <f>IF(ISBLANK('Control Entry'!F42),"",'Control Entry'!F42)</f>
        <v/>
      </c>
      <c r="F6" s="95" t="str">
        <f>IF(ISBLANK('Control Entry'!I42),"",'Control Entry'!I42)</f>
        <v/>
      </c>
      <c r="G6" s="96"/>
      <c r="H6" s="26" t="s">
        <v>29</v>
      </c>
      <c r="K6" s="13"/>
      <c r="L6" s="228" t="str">
        <f>IF(ISBLANK(Brevet_Description),"",Brevet_Description)</f>
        <v>2023 AGM -- Old Rails and Trails</v>
      </c>
      <c r="M6" s="228"/>
      <c r="N6" s="228"/>
      <c r="O6" s="228"/>
      <c r="P6" s="228"/>
      <c r="Q6" s="228"/>
      <c r="R6" s="228"/>
      <c r="S6" s="228"/>
      <c r="T6" s="228"/>
      <c r="U6" s="228"/>
    </row>
    <row r="7" spans="1:22" ht="36" customHeight="1" x14ac:dyDescent="0.2">
      <c r="A7" s="37" t="str">
        <f>IF(ISBLANK('Control Entry'!D42),"",'Control Entry'!D42)</f>
        <v/>
      </c>
      <c r="B7" s="38" t="str">
        <f>'Control Entry'!N42</f>
        <v/>
      </c>
      <c r="C7" s="38" t="str">
        <f>'Control Entry'!O42</f>
        <v/>
      </c>
      <c r="D7" s="39" t="str">
        <f>IF(ISBLANK('Control Entry'!E42),"",'Control Entry'!E42)</f>
        <v/>
      </c>
      <c r="E7" s="31" t="str">
        <f>IF(ISBLANK('Control Entry'!G42),"",'Control Entry'!G42)</f>
        <v/>
      </c>
      <c r="F7" s="95" t="str">
        <f>IF(ISBLANK('Control Entry'!J42),"",'Control Entry'!J42)</f>
        <v/>
      </c>
      <c r="G7" s="96"/>
      <c r="H7" s="26" t="s">
        <v>29</v>
      </c>
    </row>
    <row r="8" spans="1:22" ht="36" customHeight="1" thickBot="1" x14ac:dyDescent="0.25">
      <c r="A8" s="32"/>
      <c r="B8" s="33" t="str">
        <f>'Control Entry'!N42</f>
        <v/>
      </c>
      <c r="C8" s="33" t="str">
        <f>'Control Entry'!O42</f>
        <v/>
      </c>
      <c r="D8" s="34"/>
      <c r="E8" s="35" t="str">
        <f>IF(ISBLANK('Control Entry'!H42),"",'Control Entry'!H42)</f>
        <v/>
      </c>
      <c r="F8" s="100" t="str">
        <f>IF(ISBLANK('Control Entry'!K42),"",'Control Entry'!K42)</f>
        <v/>
      </c>
      <c r="G8" s="99"/>
      <c r="H8" s="26" t="s">
        <v>29</v>
      </c>
      <c r="J8" s="14" t="s">
        <v>34</v>
      </c>
      <c r="L8" s="215"/>
      <c r="M8" s="215"/>
      <c r="N8" s="215"/>
      <c r="O8" s="215"/>
      <c r="P8" s="215"/>
      <c r="Q8" s="215"/>
      <c r="R8" s="27"/>
      <c r="S8" s="44" t="s">
        <v>46</v>
      </c>
      <c r="T8" s="222"/>
      <c r="U8" s="222"/>
    </row>
    <row r="9" spans="1:22" ht="36" customHeight="1" thickBot="1" x14ac:dyDescent="0.3">
      <c r="A9" s="28"/>
      <c r="B9" s="29" t="str">
        <f>'Control Entry'!N43</f>
        <v/>
      </c>
      <c r="C9" s="29" t="str">
        <f>'Control Entry'!O43</f>
        <v/>
      </c>
      <c r="D9" s="36"/>
      <c r="E9" s="31" t="str">
        <f>IF(ISBLANK('Control Entry'!F43),"",'Control Entry'!F43)</f>
        <v/>
      </c>
      <c r="F9" s="95" t="str">
        <f>IF(ISBLANK('Control Entry'!I43),"",'Control Entry'!I43)</f>
        <v/>
      </c>
      <c r="G9" s="96"/>
      <c r="H9" s="26" t="s">
        <v>29</v>
      </c>
      <c r="J9" s="14" t="s">
        <v>35</v>
      </c>
      <c r="K9" s="14"/>
      <c r="L9" s="230" t="s">
        <v>54</v>
      </c>
      <c r="M9" s="230"/>
      <c r="N9" s="230"/>
      <c r="O9" s="230"/>
      <c r="P9" s="230"/>
      <c r="Q9" s="230"/>
      <c r="R9" s="230"/>
      <c r="S9" s="230"/>
      <c r="T9" s="230"/>
      <c r="U9" s="230"/>
    </row>
    <row r="10" spans="1:22" ht="36" customHeight="1" thickBot="1" x14ac:dyDescent="0.3">
      <c r="A10" s="37" t="str">
        <f>IF(ISBLANK('Control Entry'!D43),"",'Control Entry'!D43)</f>
        <v/>
      </c>
      <c r="B10" s="38" t="str">
        <f>'Control Entry'!N43</f>
        <v/>
      </c>
      <c r="C10" s="38" t="str">
        <f>'Control Entry'!O43</f>
        <v/>
      </c>
      <c r="D10" s="39" t="str">
        <f>IF(ISBLANK('Control Entry'!E43),"",'Control Entry'!E43)</f>
        <v/>
      </c>
      <c r="E10" s="31" t="str">
        <f>IF(ISBLANK('Control Entry'!G43),"",'Control Entry'!G43)</f>
        <v/>
      </c>
      <c r="F10" s="95" t="str">
        <f>IF(ISBLANK('Control Entry'!J43),"",'Control Entry'!J43)</f>
        <v/>
      </c>
      <c r="G10" s="96"/>
      <c r="H10" s="26" t="s">
        <v>29</v>
      </c>
      <c r="J10" s="14"/>
      <c r="K10" s="14"/>
      <c r="L10" s="224"/>
      <c r="M10" s="224"/>
      <c r="N10" s="224"/>
      <c r="O10" s="224"/>
      <c r="P10" s="224"/>
      <c r="Q10" s="224"/>
      <c r="R10" s="224"/>
      <c r="S10" s="224"/>
      <c r="T10" s="224"/>
      <c r="U10" s="224"/>
    </row>
    <row r="11" spans="1:22" ht="36" customHeight="1" thickBot="1" x14ac:dyDescent="0.3">
      <c r="A11" s="32"/>
      <c r="B11" s="33" t="str">
        <f>'Control Entry'!N43</f>
        <v/>
      </c>
      <c r="C11" s="33" t="str">
        <f>'Control Entry'!O43</f>
        <v/>
      </c>
      <c r="D11" s="34"/>
      <c r="E11" s="35" t="str">
        <f>IF(ISBLANK('Control Entry'!H43),"",'Control Entry'!H43)</f>
        <v/>
      </c>
      <c r="F11" s="100" t="str">
        <f>IF(ISBLANK('Control Entry'!K43),"",'Control Entry'!K43)</f>
        <v/>
      </c>
      <c r="G11" s="99"/>
      <c r="H11" s="26" t="s">
        <v>29</v>
      </c>
      <c r="J11" s="14" t="s">
        <v>36</v>
      </c>
      <c r="K11" s="14"/>
      <c r="L11" s="224"/>
      <c r="M11" s="224"/>
      <c r="N11" s="224"/>
      <c r="O11" s="17"/>
      <c r="P11" s="17" t="s">
        <v>37</v>
      </c>
      <c r="Q11" s="17"/>
      <c r="R11" s="17"/>
      <c r="S11" s="211"/>
      <c r="T11" s="211"/>
      <c r="U11" s="211"/>
    </row>
    <row r="12" spans="1:22" ht="36" customHeight="1" thickBot="1" x14ac:dyDescent="0.3">
      <c r="A12" s="28"/>
      <c r="B12" s="29" t="str">
        <f>'Control Entry'!N44</f>
        <v/>
      </c>
      <c r="C12" s="29" t="str">
        <f>'Control Entry'!O44</f>
        <v/>
      </c>
      <c r="D12" s="36"/>
      <c r="E12" s="31" t="str">
        <f>IF(ISBLANK('Control Entry'!F44),"",'Control Entry'!F44)</f>
        <v/>
      </c>
      <c r="F12" s="95" t="str">
        <f>IF(ISBLANK('Control Entry'!I44),"",'Control Entry'!I44)</f>
        <v/>
      </c>
      <c r="G12" s="96"/>
      <c r="H12" s="26" t="s">
        <v>29</v>
      </c>
      <c r="J12" s="14" t="s">
        <v>38</v>
      </c>
      <c r="K12" s="14"/>
      <c r="L12" s="224"/>
      <c r="M12" s="224"/>
      <c r="N12" s="224"/>
      <c r="O12" s="17"/>
      <c r="P12" s="17" t="s">
        <v>39</v>
      </c>
      <c r="Q12" s="17"/>
      <c r="R12" s="17"/>
      <c r="S12" s="211"/>
      <c r="T12" s="211"/>
      <c r="U12" s="211"/>
    </row>
    <row r="13" spans="1:22" ht="36" customHeight="1" thickBot="1" x14ac:dyDescent="0.3">
      <c r="A13" s="37" t="str">
        <f>IF(ISBLANK('Control Entry'!D44),"",'Control Entry'!D44)</f>
        <v/>
      </c>
      <c r="B13" s="38" t="str">
        <f>'Control Entry'!N44</f>
        <v/>
      </c>
      <c r="C13" s="38" t="str">
        <f>'Control Entry'!O44</f>
        <v/>
      </c>
      <c r="D13" s="39" t="str">
        <f>IF(ISBLANK('Control Entry'!E44),"",'Control Entry'!E44)</f>
        <v/>
      </c>
      <c r="E13" s="31" t="str">
        <f>IF(ISBLANK('Control Entry'!G44),"",'Control Entry'!G44)</f>
        <v/>
      </c>
      <c r="F13" s="95" t="str">
        <f>IF(ISBLANK('Control Entry'!J44),"",'Control Entry'!J44)</f>
        <v/>
      </c>
      <c r="G13" s="96"/>
      <c r="H13" s="26" t="s">
        <v>29</v>
      </c>
      <c r="J13" s="14" t="s">
        <v>40</v>
      </c>
      <c r="L13" s="233"/>
      <c r="M13" s="233"/>
      <c r="N13" s="233"/>
      <c r="O13" s="18"/>
      <c r="P13" s="17" t="s">
        <v>41</v>
      </c>
      <c r="Q13" s="17"/>
      <c r="R13" s="212"/>
      <c r="S13" s="212"/>
      <c r="T13" s="212"/>
      <c r="U13" s="212"/>
    </row>
    <row r="14" spans="1:22" ht="36" customHeight="1" thickBot="1" x14ac:dyDescent="0.25">
      <c r="A14" s="32"/>
      <c r="B14" s="33" t="str">
        <f>'Control Entry'!N44</f>
        <v/>
      </c>
      <c r="C14" s="33" t="str">
        <f>'Control Entry'!O44</f>
        <v/>
      </c>
      <c r="D14" s="34"/>
      <c r="E14" s="35" t="str">
        <f>IF(ISBLANK('Control Entry'!H44),"",'Control Entry'!H44)</f>
        <v/>
      </c>
      <c r="F14" s="100" t="str">
        <f>IF(ISBLANK('Control Entry'!K44),"",'Control Entry'!K44)</f>
        <v/>
      </c>
      <c r="G14" s="99"/>
      <c r="H14" s="26" t="s">
        <v>29</v>
      </c>
    </row>
    <row r="15" spans="1:22" ht="36" customHeight="1" x14ac:dyDescent="0.2">
      <c r="A15" s="28"/>
      <c r="B15" s="29" t="str">
        <f>'Control Entry'!N45</f>
        <v/>
      </c>
      <c r="C15" s="29" t="str">
        <f>'Control Entry'!O45</f>
        <v/>
      </c>
      <c r="D15" s="36"/>
      <c r="E15" s="31" t="str">
        <f>IF(ISBLANK('Control Entry'!F45),"",'Control Entry'!F45)</f>
        <v/>
      </c>
      <c r="F15" s="95" t="str">
        <f>IF(ISBLANK('Control Entry'!I45),"",'Control Entry'!I45)</f>
        <v/>
      </c>
      <c r="G15" s="96"/>
      <c r="H15" s="26" t="s">
        <v>29</v>
      </c>
      <c r="J15" s="14"/>
      <c r="L15" s="227" t="s">
        <v>58</v>
      </c>
      <c r="M15" s="227"/>
      <c r="N15" s="227"/>
      <c r="O15" s="227"/>
      <c r="P15" s="227"/>
      <c r="Q15" s="227"/>
      <c r="R15" s="227"/>
      <c r="S15" s="227"/>
      <c r="T15" s="227"/>
      <c r="U15" s="227"/>
    </row>
    <row r="16" spans="1:22" ht="36" customHeight="1" thickBot="1" x14ac:dyDescent="0.25">
      <c r="A16" s="37" t="str">
        <f>IF(ISBLANK('Control Entry'!D45),"",'Control Entry'!D45)</f>
        <v/>
      </c>
      <c r="B16" s="38" t="str">
        <f>'Control Entry'!N45</f>
        <v/>
      </c>
      <c r="C16" s="38" t="str">
        <f>'Control Entry'!O45</f>
        <v/>
      </c>
      <c r="D16" s="39" t="str">
        <f>IF(ISBLANK('Control Entry'!E45),"",'Control Entry'!E45)</f>
        <v/>
      </c>
      <c r="E16" s="31" t="str">
        <f>IF(ISBLANK('Control Entry'!G45),"",'Control Entry'!G45)</f>
        <v/>
      </c>
      <c r="F16" s="95" t="str">
        <f>IF(ISBLANK('Control Entry'!J45),"",'Control Entry'!J45)</f>
        <v/>
      </c>
      <c r="G16" s="96"/>
      <c r="H16" s="26" t="s">
        <v>29</v>
      </c>
      <c r="L16" s="236"/>
      <c r="M16" s="236"/>
      <c r="N16" s="236"/>
      <c r="O16" s="236"/>
      <c r="P16" s="236"/>
      <c r="Q16" s="236"/>
      <c r="R16" s="236"/>
      <c r="S16" s="236"/>
      <c r="T16" s="236"/>
      <c r="U16" s="236"/>
    </row>
    <row r="17" spans="1:22" ht="36" customHeight="1" thickBot="1" x14ac:dyDescent="0.25">
      <c r="A17" s="32"/>
      <c r="B17" s="33" t="str">
        <f>'Control Entry'!N45</f>
        <v/>
      </c>
      <c r="C17" s="33" t="str">
        <f>'Control Entry'!O45</f>
        <v/>
      </c>
      <c r="D17" s="34"/>
      <c r="E17" s="35" t="str">
        <f>IF(ISBLANK('Control Entry'!H45),"",'Control Entry'!H45)</f>
        <v/>
      </c>
      <c r="F17" s="100" t="str">
        <f>IF(ISBLANK('Control Entry'!K45),"",'Control Entry'!K45)</f>
        <v/>
      </c>
      <c r="G17" s="99"/>
      <c r="H17" s="26" t="s">
        <v>29</v>
      </c>
    </row>
    <row r="18" spans="1:22" ht="36" customHeight="1" x14ac:dyDescent="0.2">
      <c r="A18" s="28"/>
      <c r="B18" s="29" t="str">
        <f>'Control Entry'!N46</f>
        <v/>
      </c>
      <c r="C18" s="29" t="str">
        <f>'Control Entry'!O46</f>
        <v/>
      </c>
      <c r="D18" s="36"/>
      <c r="E18" s="31" t="str">
        <f>IF(ISBLANK('Control Entry'!F46),"",'Control Entry'!F46)</f>
        <v/>
      </c>
      <c r="F18" s="95" t="str">
        <f>IF(ISBLANK('Control Entry'!I46),"",'Control Entry'!I46)</f>
        <v/>
      </c>
      <c r="G18" s="96"/>
      <c r="H18" s="26" t="s">
        <v>29</v>
      </c>
    </row>
    <row r="19" spans="1:22" ht="36" customHeight="1" x14ac:dyDescent="0.2">
      <c r="A19" s="37" t="str">
        <f>IF(ISBLANK('Control Entry'!D46),"",'Control Entry'!D46)</f>
        <v/>
      </c>
      <c r="B19" s="38" t="str">
        <f>'Control Entry'!N46</f>
        <v/>
      </c>
      <c r="C19" s="38" t="str">
        <f>'Control Entry'!O46</f>
        <v/>
      </c>
      <c r="D19" s="39" t="str">
        <f>IF(ISBLANK('Control Entry'!E46),"",'Control Entry'!E46)</f>
        <v/>
      </c>
      <c r="E19" s="31" t="str">
        <f>IF(ISBLANK('Control Entry'!G46),"",'Control Entry'!G46)</f>
        <v/>
      </c>
      <c r="F19" s="95" t="str">
        <f>IF(ISBLANK('Control Entry'!J46),"",'Control Entry'!J46)</f>
        <v/>
      </c>
      <c r="G19" s="96"/>
      <c r="H19" s="26" t="s">
        <v>29</v>
      </c>
    </row>
    <row r="20" spans="1:22" ht="36" customHeight="1" thickBot="1" x14ac:dyDescent="0.25">
      <c r="A20" s="32"/>
      <c r="B20" s="33" t="str">
        <f>'Control Entry'!N46</f>
        <v/>
      </c>
      <c r="C20" s="33" t="str">
        <f>'Control Entry'!O46</f>
        <v/>
      </c>
      <c r="D20" s="34"/>
      <c r="E20" s="35" t="str">
        <f>IF(ISBLANK('Control Entry'!H46),"",'Control Entry'!H46)</f>
        <v/>
      </c>
      <c r="F20" s="100" t="str">
        <f>IF(ISBLANK('Control Entry'!K46),"",'Control Entry'!K46)</f>
        <v/>
      </c>
      <c r="G20" s="99"/>
      <c r="H20" s="26" t="s">
        <v>29</v>
      </c>
      <c r="J20" s="58" t="s">
        <v>44</v>
      </c>
      <c r="K20" s="58"/>
      <c r="L20" s="223">
        <f>IF(ISBLANK('Control Entry'!B12),"",'Control Entry'!B12)</f>
        <v>45213</v>
      </c>
      <c r="M20" s="223"/>
      <c r="N20" s="223"/>
      <c r="P20" s="17" t="s">
        <v>0</v>
      </c>
      <c r="Q20" s="17"/>
      <c r="S20" s="226">
        <f>IF(ISBLANK('Control Entry'!B13),"",'Control Entry'!B13)</f>
        <v>0.33333333333333331</v>
      </c>
      <c r="T20" s="226"/>
      <c r="U20" s="226"/>
    </row>
    <row r="21" spans="1:22" ht="36" customHeight="1" x14ac:dyDescent="0.2">
      <c r="A21" s="28"/>
      <c r="B21" s="29" t="str">
        <f>'Control Entry'!N47</f>
        <v/>
      </c>
      <c r="C21" s="29" t="str">
        <f>'Control Entry'!O47</f>
        <v/>
      </c>
      <c r="D21" s="36"/>
      <c r="E21" s="31" t="str">
        <f>IF(ISBLANK('Control Entry'!F47),"",'Control Entry'!F47)</f>
        <v/>
      </c>
      <c r="F21" s="95" t="str">
        <f>IF(ISBLANK('Control Entry'!I47),"",'Control Entry'!I47)</f>
        <v/>
      </c>
      <c r="G21" s="96"/>
      <c r="H21" s="26" t="s">
        <v>29</v>
      </c>
      <c r="J21" s="235" t="s">
        <v>87</v>
      </c>
      <c r="K21" s="235"/>
      <c r="L21" s="235"/>
      <c r="M21" s="235"/>
      <c r="N21" s="235"/>
      <c r="O21" s="235"/>
      <c r="P21" s="235"/>
      <c r="Q21" s="235"/>
      <c r="R21" s="235"/>
      <c r="S21" s="235"/>
      <c r="T21" s="235"/>
      <c r="U21" s="235"/>
      <c r="V21" s="27"/>
    </row>
    <row r="22" spans="1:22" ht="36" customHeight="1" thickBot="1" x14ac:dyDescent="0.25">
      <c r="A22" s="37" t="str">
        <f>IF(ISBLANK('Control Entry'!D47),"",'Control Entry'!D47)</f>
        <v/>
      </c>
      <c r="B22" s="38" t="str">
        <f>'Control Entry'!N47</f>
        <v/>
      </c>
      <c r="C22" s="38" t="str">
        <f>'Control Entry'!O47</f>
        <v/>
      </c>
      <c r="D22" s="39" t="str">
        <f>IF(ISBLANK('Control Entry'!E47),"",'Control Entry'!E47)</f>
        <v/>
      </c>
      <c r="E22" s="31" t="str">
        <f>IF(ISBLANK('Control Entry'!G47),"",'Control Entry'!G47)</f>
        <v/>
      </c>
      <c r="F22" s="95" t="str">
        <f>IF(ISBLANK('Control Entry'!J47),"",'Control Entry'!J47)</f>
        <v/>
      </c>
      <c r="G22" s="96"/>
      <c r="H22" s="26" t="s">
        <v>29</v>
      </c>
      <c r="J22" s="79" t="s">
        <v>45</v>
      </c>
      <c r="K22" s="79"/>
      <c r="L22" s="101"/>
      <c r="M22" s="101"/>
      <c r="N22" s="101"/>
      <c r="O22" s="18"/>
      <c r="P22" s="17" t="s">
        <v>1</v>
      </c>
      <c r="Q22" s="17"/>
      <c r="R22" s="18"/>
      <c r="S22" s="229"/>
      <c r="T22" s="229"/>
      <c r="U22" s="229"/>
    </row>
    <row r="23" spans="1:22" ht="36" customHeight="1" thickBot="1" x14ac:dyDescent="0.25">
      <c r="A23" s="32"/>
      <c r="B23" s="33" t="str">
        <f>'Control Entry'!N47</f>
        <v/>
      </c>
      <c r="C23" s="33" t="str">
        <f>'Control Entry'!O47</f>
        <v/>
      </c>
      <c r="D23" s="34"/>
      <c r="E23" s="35" t="str">
        <f>IF(ISBLANK('Control Entry'!H47),"",'Control Entry'!H47)</f>
        <v/>
      </c>
      <c r="F23" s="100" t="str">
        <f>IF(ISBLANK('Control Entry'!K47),"",'Control Entry'!K47)</f>
        <v/>
      </c>
      <c r="G23" s="99"/>
      <c r="H23" s="26" t="s">
        <v>29</v>
      </c>
      <c r="J23" s="79"/>
      <c r="K23" s="79"/>
      <c r="L23" s="56"/>
      <c r="M23" s="56"/>
      <c r="N23" s="56"/>
      <c r="O23" s="21"/>
      <c r="P23" s="55"/>
      <c r="Q23" s="55"/>
      <c r="R23" s="21"/>
      <c r="S23" s="21"/>
      <c r="T23" s="21"/>
      <c r="U23" s="21"/>
      <c r="V23" s="27"/>
    </row>
    <row r="24" spans="1:22" ht="36" customHeight="1" thickBot="1" x14ac:dyDescent="0.25">
      <c r="A24" s="28"/>
      <c r="B24" s="29" t="str">
        <f>'Control Entry'!N48</f>
        <v/>
      </c>
      <c r="C24" s="29" t="str">
        <f>'Control Entry'!O48</f>
        <v/>
      </c>
      <c r="D24" s="36"/>
      <c r="E24" s="31" t="str">
        <f>IF(ISBLANK('Control Entry'!F48),"",'Control Entry'!F48)</f>
        <v/>
      </c>
      <c r="F24" s="95" t="str">
        <f>IF(ISBLANK('Control Entry'!I48),"",'Control Entry'!I48)</f>
        <v/>
      </c>
      <c r="G24" s="96"/>
      <c r="H24" s="26" t="s">
        <v>29</v>
      </c>
      <c r="J24" s="229"/>
      <c r="K24" s="229"/>
      <c r="L24" s="229"/>
      <c r="M24" s="229"/>
      <c r="N24" s="229"/>
      <c r="O24" s="18"/>
      <c r="P24" s="17" t="s">
        <v>2</v>
      </c>
      <c r="Q24" s="17"/>
      <c r="R24" s="18"/>
      <c r="S24" s="229"/>
      <c r="T24" s="229"/>
      <c r="U24" s="229"/>
    </row>
    <row r="25" spans="1:22" ht="36" customHeight="1" x14ac:dyDescent="0.2">
      <c r="A25" s="37" t="str">
        <f>IF(ISBLANK('Control Entry'!D48),"",'Control Entry'!D48)</f>
        <v/>
      </c>
      <c r="B25" s="38" t="str">
        <f>'Control Entry'!N48</f>
        <v/>
      </c>
      <c r="C25" s="38" t="str">
        <f>'Control Entry'!O48</f>
        <v/>
      </c>
      <c r="D25" s="39" t="str">
        <f>IF(ISBLANK('Control Entry'!E48),"",'Control Entry'!E48)</f>
        <v/>
      </c>
      <c r="E25" s="31" t="str">
        <f>IF(ISBLANK('Control Entry'!G48),"",'Control Entry'!G48)</f>
        <v/>
      </c>
      <c r="F25" s="95" t="str">
        <f>IF(ISBLANK('Control Entry'!J48),"",'Control Entry'!J48)</f>
        <v/>
      </c>
      <c r="G25" s="96"/>
      <c r="H25" s="26" t="s">
        <v>29</v>
      </c>
      <c r="J25" s="203" t="s">
        <v>17</v>
      </c>
      <c r="K25" s="203"/>
      <c r="L25" s="203"/>
      <c r="M25" s="203"/>
      <c r="N25" s="203"/>
      <c r="O25" s="50"/>
      <c r="P25" s="197"/>
      <c r="Q25" s="197"/>
      <c r="R25" s="50"/>
      <c r="S25" s="187"/>
      <c r="T25" s="187"/>
      <c r="U25" s="187"/>
      <c r="V25" s="187"/>
    </row>
    <row r="26" spans="1:22" ht="36" customHeight="1" thickBot="1" x14ac:dyDescent="0.25">
      <c r="A26" s="32"/>
      <c r="B26" s="33" t="str">
        <f>'Control Entry'!N48</f>
        <v/>
      </c>
      <c r="C26" s="33" t="str">
        <f>'Control Entry'!O48</f>
        <v/>
      </c>
      <c r="D26" s="34"/>
      <c r="E26" s="35" t="str">
        <f>IF(ISBLANK('Control Entry'!H48),"",'Control Entry'!H48)</f>
        <v/>
      </c>
      <c r="F26" s="100" t="str">
        <f>IF(ISBLANK('Control Entry'!K48),"",'Control Entry'!K48)</f>
        <v/>
      </c>
      <c r="G26" s="99"/>
      <c r="H26" s="26" t="s">
        <v>29</v>
      </c>
    </row>
    <row r="27" spans="1:22" ht="36" customHeight="1" x14ac:dyDescent="0.2">
      <c r="A27" s="28"/>
      <c r="B27" s="29" t="str">
        <f>'Control Entry'!N49</f>
        <v/>
      </c>
      <c r="C27" s="29" t="str">
        <f>'Control Entry'!O49</f>
        <v/>
      </c>
      <c r="D27" s="36"/>
      <c r="E27" s="31" t="str">
        <f>IF(ISBLANK('Control Entry'!F49),"",'Control Entry'!F49)</f>
        <v/>
      </c>
      <c r="F27" s="95" t="str">
        <f>IF(ISBLANK('Control Entry'!I49),"",'Control Entry'!I49)</f>
        <v/>
      </c>
      <c r="G27" s="96"/>
      <c r="H27" s="26" t="s">
        <v>29</v>
      </c>
      <c r="K27" s="186" t="s">
        <v>56</v>
      </c>
      <c r="L27" s="197"/>
      <c r="M27" s="49" t="s">
        <v>57</v>
      </c>
      <c r="N27" s="197" t="s">
        <v>49</v>
      </c>
      <c r="O27" s="197"/>
      <c r="P27" s="197" t="s">
        <v>50</v>
      </c>
      <c r="Q27" s="197"/>
      <c r="R27" s="50" t="s">
        <v>51</v>
      </c>
      <c r="S27" s="187" t="s">
        <v>52</v>
      </c>
      <c r="T27" s="187"/>
      <c r="U27" s="187" t="s">
        <v>53</v>
      </c>
      <c r="V27" s="187"/>
    </row>
    <row r="28" spans="1:22" ht="36" customHeight="1" x14ac:dyDescent="0.2">
      <c r="A28" s="37" t="str">
        <f>IF(ISBLANK('Control Entry'!D49),"",'Control Entry'!D49)</f>
        <v/>
      </c>
      <c r="B28" s="38" t="str">
        <f>'Control Entry'!N49</f>
        <v/>
      </c>
      <c r="C28" s="38" t="str">
        <f>'Control Entry'!O49</f>
        <v/>
      </c>
      <c r="D28" s="39" t="str">
        <f>IF(ISBLANK('Control Entry'!E49),"",'Control Entry'!E49)</f>
        <v/>
      </c>
      <c r="E28" s="31" t="str">
        <f>IF(ISBLANK('Control Entry'!G49),"",'Control Entry'!G49)</f>
        <v/>
      </c>
      <c r="F28" s="95" t="str">
        <f>IF(ISBLANK('Control Entry'!J49),"",'Control Entry'!J49)</f>
        <v/>
      </c>
      <c r="G28" s="96"/>
      <c r="H28" s="26" t="s">
        <v>29</v>
      </c>
    </row>
    <row r="29" spans="1:22" ht="36" customHeight="1" thickBot="1" x14ac:dyDescent="0.25">
      <c r="A29" s="32"/>
      <c r="B29" s="33" t="str">
        <f>'Control Entry'!N49</f>
        <v/>
      </c>
      <c r="C29" s="33" t="str">
        <f>'Control Entry'!O49</f>
        <v/>
      </c>
      <c r="D29" s="34"/>
      <c r="E29" s="35" t="str">
        <f>IF(ISBLANK('Control Entry'!H49),"",'Control Entry'!H49)</f>
        <v/>
      </c>
      <c r="F29" s="100" t="str">
        <f>IF(ISBLANK('Control Entry'!K49),"",'Control Entry'!K49)</f>
        <v/>
      </c>
      <c r="G29" s="99"/>
      <c r="H29" s="26" t="s">
        <v>29</v>
      </c>
      <c r="M29" s="207" t="s">
        <v>42</v>
      </c>
      <c r="N29" s="207"/>
      <c r="O29" s="207"/>
      <c r="P29" s="207"/>
      <c r="Q29" s="207"/>
      <c r="R29" s="207"/>
      <c r="S29" s="207"/>
      <c r="T29" s="207"/>
      <c r="U29" s="53"/>
    </row>
    <row r="30" spans="1:22" ht="36" customHeight="1" x14ac:dyDescent="0.2">
      <c r="A30" s="28"/>
      <c r="B30" s="29" t="str">
        <f>'Control Entry'!N50</f>
        <v/>
      </c>
      <c r="C30" s="29" t="str">
        <f>'Control Entry'!O50</f>
        <v/>
      </c>
      <c r="D30" s="36"/>
      <c r="E30" s="31" t="str">
        <f>IF(ISBLANK('Control Entry'!F50),"",'Control Entry'!F50)</f>
        <v/>
      </c>
      <c r="F30" s="95" t="str">
        <f>IF(ISBLANK('Control Entry'!I50),"",'Control Entry'!I50)</f>
        <v/>
      </c>
      <c r="G30" s="96"/>
      <c r="H30" s="26" t="s">
        <v>29</v>
      </c>
      <c r="M30" s="15"/>
      <c r="N30" s="19"/>
      <c r="O30" s="19"/>
      <c r="P30" s="20"/>
      <c r="Q30" s="102"/>
      <c r="R30" s="19"/>
      <c r="S30" s="19"/>
      <c r="T30" s="20"/>
      <c r="U30" s="21"/>
    </row>
    <row r="31" spans="1:22" ht="36" customHeight="1" x14ac:dyDescent="0.2">
      <c r="A31" s="37" t="str">
        <f>IF(ISBLANK('Control Entry'!D50),"",'Control Entry'!D50)</f>
        <v/>
      </c>
      <c r="B31" s="38" t="str">
        <f>'Control Entry'!N50</f>
        <v/>
      </c>
      <c r="C31" s="38" t="str">
        <f>'Control Entry'!O50</f>
        <v/>
      </c>
      <c r="D31" s="39" t="str">
        <f>IF(ISBLANK('Control Entry'!E50),"",'Control Entry'!E50)</f>
        <v/>
      </c>
      <c r="E31" s="31" t="str">
        <f>IF(ISBLANK('Control Entry'!G50),"",'Control Entry'!G50)</f>
        <v/>
      </c>
      <c r="F31" s="95" t="str">
        <f>IF(ISBLANK('Control Entry'!J50),"",'Control Entry'!J50)</f>
        <v/>
      </c>
      <c r="G31" s="96"/>
      <c r="H31" s="26" t="s">
        <v>29</v>
      </c>
      <c r="M31" s="16"/>
      <c r="N31" s="21"/>
      <c r="O31" s="21"/>
      <c r="P31" s="22"/>
      <c r="Q31" s="103"/>
      <c r="R31" s="21"/>
      <c r="S31" s="21"/>
      <c r="T31" s="22"/>
      <c r="U31" s="21"/>
    </row>
    <row r="32" spans="1:22" ht="36" customHeight="1" thickBot="1" x14ac:dyDescent="0.25">
      <c r="A32" s="32"/>
      <c r="B32" s="33" t="str">
        <f>'Control Entry'!N50</f>
        <v/>
      </c>
      <c r="C32" s="33" t="str">
        <f>'Control Entry'!O50</f>
        <v/>
      </c>
      <c r="D32" s="34"/>
      <c r="E32" s="35" t="str">
        <f>IF(ISBLANK('Control Entry'!H50),"",'Control Entry'!H50)</f>
        <v/>
      </c>
      <c r="F32" s="100" t="str">
        <f>IF(ISBLANK('Control Entry'!K50),"",'Control Entry'!K50)</f>
        <v/>
      </c>
      <c r="G32" s="99"/>
      <c r="H32" s="26" t="s">
        <v>29</v>
      </c>
      <c r="M32" s="216" t="s">
        <v>81</v>
      </c>
      <c r="N32" s="217"/>
      <c r="O32" s="217"/>
      <c r="P32" s="218"/>
      <c r="Q32" s="219">
        <f>'Control Entry'!B3</f>
        <v>45167</v>
      </c>
      <c r="R32" s="220"/>
      <c r="S32" s="220"/>
      <c r="T32" s="221"/>
      <c r="U32" s="21"/>
    </row>
    <row r="33" spans="1:22" ht="36" customHeight="1" x14ac:dyDescent="0.2">
      <c r="A33" s="210" t="s">
        <v>43</v>
      </c>
      <c r="B33" s="210"/>
      <c r="C33" s="210"/>
      <c r="D33" s="210"/>
      <c r="E33" s="210"/>
      <c r="F33" s="210"/>
      <c r="G33" s="210"/>
      <c r="H33" s="40"/>
      <c r="I33" s="40"/>
      <c r="M33" s="208" t="s">
        <v>83</v>
      </c>
      <c r="N33" s="209"/>
      <c r="O33" s="209"/>
      <c r="P33" s="209"/>
      <c r="Q33" s="204">
        <f>'Control Entry'!B4</f>
        <v>45211</v>
      </c>
      <c r="R33" s="205"/>
      <c r="S33" s="205"/>
      <c r="T33" s="205"/>
      <c r="U33" s="90"/>
      <c r="V33" s="56"/>
    </row>
    <row r="34" spans="1:22" ht="36" customHeight="1" x14ac:dyDescent="0.2">
      <c r="A34"/>
      <c r="O34" s="46"/>
      <c r="P34" s="46"/>
      <c r="Q34" s="46"/>
      <c r="R34" s="45"/>
    </row>
    <row r="35" spans="1:22" ht="36" customHeight="1" x14ac:dyDescent="0.2">
      <c r="A35"/>
      <c r="N35" s="207"/>
      <c r="O35" s="207"/>
      <c r="P35" s="207"/>
      <c r="Q35" s="207"/>
      <c r="R35" s="207"/>
      <c r="S35" s="207"/>
      <c r="T35" s="207"/>
      <c r="U35" s="207"/>
    </row>
    <row r="36" spans="1:22" ht="36" customHeight="1" x14ac:dyDescent="0.15">
      <c r="A36"/>
      <c r="N36" s="27"/>
      <c r="O36" s="21"/>
      <c r="P36" s="21"/>
      <c r="Q36" s="21"/>
      <c r="R36" s="21"/>
      <c r="S36" s="21"/>
      <c r="T36" s="21"/>
      <c r="U36" s="21"/>
    </row>
    <row r="37" spans="1:22" ht="36" customHeight="1" x14ac:dyDescent="0.15">
      <c r="A37"/>
      <c r="N37" s="27"/>
      <c r="O37" s="21"/>
      <c r="P37" s="21"/>
      <c r="Q37" s="21"/>
      <c r="R37" s="21"/>
      <c r="S37" s="21"/>
      <c r="T37" s="21"/>
      <c r="U37" s="21"/>
    </row>
    <row r="38" spans="1:22" ht="36" customHeight="1" x14ac:dyDescent="0.2">
      <c r="A38"/>
      <c r="N38" s="54"/>
      <c r="O38" s="21"/>
      <c r="P38" s="21"/>
      <c r="Q38" s="21"/>
      <c r="R38" s="21"/>
      <c r="S38" s="21"/>
      <c r="T38" s="21"/>
      <c r="U38" s="21"/>
    </row>
    <row r="39" spans="1:22" ht="36" customHeight="1" x14ac:dyDescent="0.15">
      <c r="A39"/>
    </row>
    <row r="40" spans="1:22" ht="36" customHeight="1" x14ac:dyDescent="0.15">
      <c r="A40"/>
    </row>
  </sheetData>
  <sheetProtection algorithmName="SHA-512" hashValue="n04OlOPypxKiXZHfTF7SZ14P8gX/OWk/qktZJUCZqh+6Nv8BjLLr9UXJBNwuWtsY5jnC73Xiuu+JFtcLWZMoiA==" saltValue="FabpdyB7wrMR7nA5d9noMA==" spinCount="100000" sheet="1" objects="1" scenarios="1" formatCells="0" selectLockedCells="1"/>
  <mergeCells count="41">
    <mergeCell ref="S22:U22"/>
    <mergeCell ref="J24:N24"/>
    <mergeCell ref="S24:U24"/>
    <mergeCell ref="S11:U11"/>
    <mergeCell ref="L12:N12"/>
    <mergeCell ref="S12:U12"/>
    <mergeCell ref="L13:N13"/>
    <mergeCell ref="R13:U13"/>
    <mergeCell ref="J21:U21"/>
    <mergeCell ref="M33:P33"/>
    <mergeCell ref="Q33:T33"/>
    <mergeCell ref="L20:N20"/>
    <mergeCell ref="A33:G33"/>
    <mergeCell ref="N35:U35"/>
    <mergeCell ref="U27:V27"/>
    <mergeCell ref="M29:T29"/>
    <mergeCell ref="K27:L27"/>
    <mergeCell ref="N27:O27"/>
    <mergeCell ref="P27:Q27"/>
    <mergeCell ref="S27:T27"/>
    <mergeCell ref="J25:N25"/>
    <mergeCell ref="P25:Q25"/>
    <mergeCell ref="S25:T25"/>
    <mergeCell ref="U25:V25"/>
    <mergeCell ref="M32:P32"/>
    <mergeCell ref="Q32:T32"/>
    <mergeCell ref="A1:G1"/>
    <mergeCell ref="K2:U2"/>
    <mergeCell ref="M4:T4"/>
    <mergeCell ref="N5:O5"/>
    <mergeCell ref="R5:U5"/>
    <mergeCell ref="O3:R3"/>
    <mergeCell ref="L6:U6"/>
    <mergeCell ref="L8:Q8"/>
    <mergeCell ref="T8:U8"/>
    <mergeCell ref="L15:U15"/>
    <mergeCell ref="S20:U20"/>
    <mergeCell ref="L9:U9"/>
    <mergeCell ref="L10:U10"/>
    <mergeCell ref="L11:N11"/>
    <mergeCell ref="L16:U16"/>
  </mergeCells>
  <conditionalFormatting sqref="P22:U24">
    <cfRule type="expression" dxfId="10" priority="4">
      <formula>$S$3="#3"</formula>
    </cfRule>
  </conditionalFormatting>
  <conditionalFormatting sqref="J22:N22">
    <cfRule type="expression" dxfId="9" priority="3">
      <formula>$S$3="#3"</formula>
    </cfRule>
  </conditionalFormatting>
  <conditionalFormatting sqref="K27:V27">
    <cfRule type="expression" dxfId="8" priority="2">
      <formula>$S$3="#3"</formula>
    </cfRule>
  </conditionalFormatting>
  <conditionalFormatting sqref="J21:U21">
    <cfRule type="expression" dxfId="7" priority="1">
      <formula>$S$3&lt;&gt;"#3"</formula>
    </cfRule>
  </conditionalFormatting>
  <printOptions horizontalCentered="1" verticalCentered="1"/>
  <pageMargins left="0.2" right="0.2" top="0.2" bottom="0.2" header="0.51" footer="0.51"/>
  <pageSetup scale="44" orientation="landscape" horizontalDpi="4294967292" verticalDpi="4294967292"/>
  <ignoredErrors>
    <ignoredError sqref="L20"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6F177-8884-5D4F-9CF4-14229878B446}">
  <sheetPr>
    <pageSetUpPr fitToPage="1"/>
  </sheetPr>
  <dimension ref="A1:V40"/>
  <sheetViews>
    <sheetView showGridLines="0" topLeftCell="F1" zoomScale="92" zoomScaleNormal="92" zoomScalePageLayoutView="92" workbookViewId="0">
      <selection activeCell="F3" sqref="F3"/>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7" customWidth="1"/>
    <col min="9" max="9" width="12" customWidth="1"/>
    <col min="12" max="14" width="9" customWidth="1"/>
    <col min="18" max="18" width="8.83203125" customWidth="1"/>
    <col min="19" max="19" width="10.5" customWidth="1"/>
  </cols>
  <sheetData>
    <row r="1" spans="1:22" ht="21" thickBot="1" x14ac:dyDescent="0.2">
      <c r="A1" s="177" t="s">
        <v>73</v>
      </c>
      <c r="B1" s="177"/>
      <c r="C1" s="177"/>
      <c r="D1" s="177"/>
      <c r="E1" s="177"/>
      <c r="F1" s="177"/>
      <c r="G1" s="177"/>
      <c r="H1" s="26" t="s">
        <v>29</v>
      </c>
    </row>
    <row r="2" spans="1:22" ht="33.75" customHeight="1" thickBot="1" x14ac:dyDescent="0.25">
      <c r="A2" s="72" t="s">
        <v>30</v>
      </c>
      <c r="B2" s="9" t="s">
        <v>3</v>
      </c>
      <c r="C2" s="9" t="s">
        <v>4</v>
      </c>
      <c r="D2" s="9" t="s">
        <v>25</v>
      </c>
      <c r="E2" s="9" t="s">
        <v>31</v>
      </c>
      <c r="F2" s="9" t="s">
        <v>59</v>
      </c>
      <c r="G2" s="72" t="s">
        <v>32</v>
      </c>
      <c r="H2" s="26" t="s">
        <v>29</v>
      </c>
      <c r="K2" s="214" t="s">
        <v>55</v>
      </c>
      <c r="L2" s="214"/>
      <c r="M2" s="214"/>
      <c r="N2" s="214"/>
      <c r="O2" s="214"/>
      <c r="P2" s="214"/>
      <c r="Q2" s="214"/>
      <c r="R2" s="214"/>
      <c r="S2" s="214"/>
      <c r="T2" s="214"/>
      <c r="U2" s="214"/>
    </row>
    <row r="3" spans="1:22" ht="36" customHeight="1" x14ac:dyDescent="0.45">
      <c r="A3" s="28"/>
      <c r="B3" s="29" t="str">
        <f>'Control Entry'!N54</f>
        <v/>
      </c>
      <c r="C3" s="29" t="str">
        <f>'Control Entry'!O54</f>
        <v/>
      </c>
      <c r="D3" s="30"/>
      <c r="E3" s="31" t="str">
        <f>IF(ISBLANK('Control Entry'!F54),"",'Control Entry'!F54)</f>
        <v/>
      </c>
      <c r="F3" s="95" t="str">
        <f>IF(ISBLANK('Control Entry'!I54),"",'Control Entry'!I54)</f>
        <v/>
      </c>
      <c r="G3" s="96"/>
      <c r="H3" s="26" t="s">
        <v>29</v>
      </c>
      <c r="K3" s="13"/>
      <c r="O3" s="185" t="s">
        <v>72</v>
      </c>
      <c r="P3" s="185"/>
      <c r="Q3" s="185"/>
      <c r="R3" s="185"/>
      <c r="S3" s="83" t="str">
        <f>IF(AND('Control Entry'!D41=0,'Control Entry'!D54&lt;&gt;0),"#2",IF('Control Entry'!D54=0,"","#4"))</f>
        <v/>
      </c>
      <c r="T3" s="84"/>
      <c r="U3" s="41"/>
    </row>
    <row r="4" spans="1:22" ht="36" customHeight="1" x14ac:dyDescent="0.2">
      <c r="A4" s="37" t="str">
        <f>IF(ISBLANK('Control Entry'!D54),"",'Control Entry'!D54)</f>
        <v/>
      </c>
      <c r="B4" s="38" t="str">
        <f>'Control Entry'!N54</f>
        <v/>
      </c>
      <c r="C4" s="38" t="str">
        <f>'Control Entry'!O54</f>
        <v/>
      </c>
      <c r="D4" s="39" t="str">
        <f>IF(ISBLANK('Control Entry'!E54),"",'Control Entry'!E54)</f>
        <v/>
      </c>
      <c r="E4" s="31" t="str">
        <f>IF(ISBLANK('Control Entry'!G54),"",'Control Entry'!G54)</f>
        <v/>
      </c>
      <c r="F4" s="95" t="str">
        <f>IF(ISBLANK('Control Entry'!J54),"",'Control Entry'!J54)</f>
        <v/>
      </c>
      <c r="G4" s="96"/>
      <c r="H4" s="26" t="s">
        <v>29</v>
      </c>
      <c r="K4" s="13"/>
      <c r="M4" s="186" t="str">
        <f>IF(ISBLANK(Brevet_Length),"",Brevet_Length&amp;" km Randonnée")</f>
        <v>200 km Randonnée</v>
      </c>
      <c r="N4" s="186"/>
      <c r="O4" s="186"/>
      <c r="P4" s="186"/>
      <c r="Q4" s="186"/>
      <c r="R4" s="186"/>
      <c r="S4" s="186"/>
      <c r="T4" s="186"/>
      <c r="U4" s="42"/>
    </row>
    <row r="5" spans="1:22" ht="36" customHeight="1" thickBot="1" x14ac:dyDescent="0.25">
      <c r="A5" s="32"/>
      <c r="B5" s="33" t="str">
        <f>'Control Entry'!N54</f>
        <v/>
      </c>
      <c r="C5" s="33" t="str">
        <f>'Control Entry'!O54</f>
        <v/>
      </c>
      <c r="D5" s="34"/>
      <c r="E5" s="35" t="str">
        <f>IF(ISBLANK('Control Entry'!H54),"",'Control Entry'!H54)</f>
        <v/>
      </c>
      <c r="F5" s="100" t="str">
        <f>IF(ISBLANK('Control Entry'!K54),"",'Control Entry'!K54)</f>
        <v/>
      </c>
      <c r="G5" s="99"/>
      <c r="H5" s="26" t="s">
        <v>29</v>
      </c>
      <c r="K5" s="13"/>
      <c r="M5" s="14"/>
      <c r="N5" s="225" t="s">
        <v>47</v>
      </c>
      <c r="O5" s="225"/>
      <c r="P5" s="60">
        <f>IF(ISBLANK(Brevet_Number),"",Brevet_Number)</f>
        <v>5278</v>
      </c>
      <c r="Q5" s="61"/>
      <c r="R5" s="213">
        <f>IF(ISBLANK('Control Entry'!$B10),"",'Control Entry'!$B10)</f>
        <v>45213</v>
      </c>
      <c r="S5" s="213"/>
      <c r="T5" s="213"/>
      <c r="U5" s="213"/>
      <c r="V5" s="43"/>
    </row>
    <row r="6" spans="1:22" ht="36" customHeight="1" x14ac:dyDescent="0.2">
      <c r="A6" s="28"/>
      <c r="B6" s="29" t="str">
        <f>'Control Entry'!N55</f>
        <v/>
      </c>
      <c r="C6" s="29" t="str">
        <f>'Control Entry'!O55</f>
        <v/>
      </c>
      <c r="D6" s="36"/>
      <c r="E6" s="31" t="str">
        <f>IF(ISBLANK('Control Entry'!F55),"",'Control Entry'!F55)</f>
        <v/>
      </c>
      <c r="F6" s="95" t="str">
        <f>IF(ISBLANK('Control Entry'!I55),"",'Control Entry'!I55)</f>
        <v/>
      </c>
      <c r="G6" s="96"/>
      <c r="H6" s="26" t="s">
        <v>29</v>
      </c>
      <c r="K6" s="13"/>
      <c r="L6" s="228" t="str">
        <f>IF(ISBLANK(Brevet_Description),"",Brevet_Description)</f>
        <v>2023 AGM -- Old Rails and Trails</v>
      </c>
      <c r="M6" s="228"/>
      <c r="N6" s="228"/>
      <c r="O6" s="228"/>
      <c r="P6" s="228"/>
      <c r="Q6" s="228"/>
      <c r="R6" s="228"/>
      <c r="S6" s="228"/>
      <c r="T6" s="228"/>
      <c r="U6" s="228"/>
    </row>
    <row r="7" spans="1:22" ht="36" customHeight="1" x14ac:dyDescent="0.2">
      <c r="A7" s="37" t="str">
        <f>IF(ISBLANK('Control Entry'!D55),"",'Control Entry'!D55)</f>
        <v/>
      </c>
      <c r="B7" s="38" t="str">
        <f>'Control Entry'!N55</f>
        <v/>
      </c>
      <c r="C7" s="38" t="str">
        <f>'Control Entry'!O55</f>
        <v/>
      </c>
      <c r="D7" s="39" t="str">
        <f>IF(ISBLANK('Control Entry'!E55),"",'Control Entry'!E55)</f>
        <v/>
      </c>
      <c r="E7" s="31" t="str">
        <f>IF(ISBLANK('Control Entry'!G55),"",'Control Entry'!G55)</f>
        <v/>
      </c>
      <c r="F7" s="95" t="str">
        <f>IF(ISBLANK('Control Entry'!J55),"",'Control Entry'!J55)</f>
        <v/>
      </c>
      <c r="G7" s="96"/>
      <c r="H7" s="26" t="s">
        <v>29</v>
      </c>
    </row>
    <row r="8" spans="1:22" ht="36" customHeight="1" thickBot="1" x14ac:dyDescent="0.25">
      <c r="A8" s="32"/>
      <c r="B8" s="33" t="str">
        <f>'Control Entry'!N55</f>
        <v/>
      </c>
      <c r="C8" s="33" t="str">
        <f>'Control Entry'!O55</f>
        <v/>
      </c>
      <c r="D8" s="34"/>
      <c r="E8" s="35" t="str">
        <f>IF(ISBLANK('Control Entry'!H55),"",'Control Entry'!H55)</f>
        <v/>
      </c>
      <c r="F8" s="100" t="str">
        <f>IF(ISBLANK('Control Entry'!K55),"",'Control Entry'!K55)</f>
        <v/>
      </c>
      <c r="G8" s="99"/>
      <c r="H8" s="26" t="s">
        <v>29</v>
      </c>
      <c r="J8" s="14" t="s">
        <v>34</v>
      </c>
      <c r="L8" s="215"/>
      <c r="M8" s="215"/>
      <c r="N8" s="215"/>
      <c r="O8" s="215"/>
      <c r="P8" s="215"/>
      <c r="Q8" s="215"/>
      <c r="R8" s="27"/>
      <c r="S8" s="44" t="s">
        <v>46</v>
      </c>
      <c r="T8" s="222"/>
      <c r="U8" s="222"/>
    </row>
    <row r="9" spans="1:22" ht="36" customHeight="1" thickBot="1" x14ac:dyDescent="0.3">
      <c r="A9" s="28"/>
      <c r="B9" s="29" t="str">
        <f>'Control Entry'!N56</f>
        <v/>
      </c>
      <c r="C9" s="29" t="str">
        <f>'Control Entry'!O56</f>
        <v/>
      </c>
      <c r="D9" s="36"/>
      <c r="E9" s="31" t="str">
        <f>IF(ISBLANK('Control Entry'!F56),"",'Control Entry'!F56)</f>
        <v/>
      </c>
      <c r="F9" s="95" t="str">
        <f>IF(ISBLANK('Control Entry'!I56),"",'Control Entry'!I56)</f>
        <v/>
      </c>
      <c r="G9" s="96"/>
      <c r="H9" s="26" t="s">
        <v>29</v>
      </c>
      <c r="J9" s="14" t="s">
        <v>35</v>
      </c>
      <c r="K9" s="14"/>
      <c r="L9" s="230" t="s">
        <v>54</v>
      </c>
      <c r="M9" s="230"/>
      <c r="N9" s="230"/>
      <c r="O9" s="230"/>
      <c r="P9" s="230"/>
      <c r="Q9" s="230"/>
      <c r="R9" s="230"/>
      <c r="S9" s="230"/>
      <c r="T9" s="230"/>
      <c r="U9" s="230"/>
    </row>
    <row r="10" spans="1:22" ht="36" customHeight="1" thickBot="1" x14ac:dyDescent="0.3">
      <c r="A10" s="37" t="str">
        <f>IF(ISBLANK('Control Entry'!D56),"",'Control Entry'!D56)</f>
        <v/>
      </c>
      <c r="B10" s="38" t="str">
        <f>'Control Entry'!N56</f>
        <v/>
      </c>
      <c r="C10" s="38" t="str">
        <f>'Control Entry'!O56</f>
        <v/>
      </c>
      <c r="D10" s="39" t="str">
        <f>IF(ISBLANK('Control Entry'!E56),"",'Control Entry'!E56)</f>
        <v/>
      </c>
      <c r="E10" s="31" t="str">
        <f>IF(ISBLANK('Control Entry'!G56),"",'Control Entry'!G56)</f>
        <v/>
      </c>
      <c r="F10" s="95" t="str">
        <f>IF(ISBLANK('Control Entry'!J56),"",'Control Entry'!J56)</f>
        <v/>
      </c>
      <c r="G10" s="96"/>
      <c r="H10" s="26" t="s">
        <v>29</v>
      </c>
      <c r="J10" s="14"/>
      <c r="K10" s="14"/>
      <c r="L10" s="224"/>
      <c r="M10" s="224"/>
      <c r="N10" s="224"/>
      <c r="O10" s="224"/>
      <c r="P10" s="224"/>
      <c r="Q10" s="224"/>
      <c r="R10" s="224"/>
      <c r="S10" s="224"/>
      <c r="T10" s="224"/>
      <c r="U10" s="224"/>
    </row>
    <row r="11" spans="1:22" ht="36" customHeight="1" thickBot="1" x14ac:dyDescent="0.3">
      <c r="A11" s="32"/>
      <c r="B11" s="33" t="str">
        <f>'Control Entry'!N56</f>
        <v/>
      </c>
      <c r="C11" s="33" t="str">
        <f>'Control Entry'!O56</f>
        <v/>
      </c>
      <c r="D11" s="34"/>
      <c r="E11" s="35" t="str">
        <f>IF(ISBLANK('Control Entry'!H56),"",'Control Entry'!H56)</f>
        <v/>
      </c>
      <c r="F11" s="100" t="str">
        <f>IF(ISBLANK('Control Entry'!K56),"",'Control Entry'!K56)</f>
        <v/>
      </c>
      <c r="G11" s="99"/>
      <c r="H11" s="26" t="s">
        <v>29</v>
      </c>
      <c r="J11" s="14" t="s">
        <v>36</v>
      </c>
      <c r="K11" s="14"/>
      <c r="L11" s="224"/>
      <c r="M11" s="224"/>
      <c r="N11" s="224"/>
      <c r="O11" s="17"/>
      <c r="P11" s="17" t="s">
        <v>37</v>
      </c>
      <c r="Q11" s="17"/>
      <c r="R11" s="17"/>
      <c r="S11" s="211"/>
      <c r="T11" s="211"/>
      <c r="U11" s="211"/>
    </row>
    <row r="12" spans="1:22" ht="36" customHeight="1" thickBot="1" x14ac:dyDescent="0.3">
      <c r="A12" s="28"/>
      <c r="B12" s="29" t="str">
        <f>'Control Entry'!N57</f>
        <v/>
      </c>
      <c r="C12" s="29" t="str">
        <f>'Control Entry'!O57</f>
        <v/>
      </c>
      <c r="D12" s="36"/>
      <c r="E12" s="31" t="str">
        <f>IF(ISBLANK('Control Entry'!F57),"",'Control Entry'!F57)</f>
        <v/>
      </c>
      <c r="F12" s="95" t="str">
        <f>IF(ISBLANK('Control Entry'!I57),"",'Control Entry'!I57)</f>
        <v/>
      </c>
      <c r="G12" s="96"/>
      <c r="H12" s="26" t="s">
        <v>29</v>
      </c>
      <c r="J12" s="14" t="s">
        <v>38</v>
      </c>
      <c r="K12" s="14"/>
      <c r="L12" s="224"/>
      <c r="M12" s="224"/>
      <c r="N12" s="224"/>
      <c r="O12" s="17"/>
      <c r="P12" s="17" t="s">
        <v>39</v>
      </c>
      <c r="Q12" s="17"/>
      <c r="R12" s="17"/>
      <c r="S12" s="211"/>
      <c r="T12" s="211"/>
      <c r="U12" s="211"/>
    </row>
    <row r="13" spans="1:22" ht="36" customHeight="1" thickBot="1" x14ac:dyDescent="0.3">
      <c r="A13" s="37" t="str">
        <f>IF(ISBLANK('Control Entry'!D57),"",'Control Entry'!D57)</f>
        <v/>
      </c>
      <c r="B13" s="38" t="str">
        <f>'Control Entry'!N57</f>
        <v/>
      </c>
      <c r="C13" s="38" t="str">
        <f>'Control Entry'!O57</f>
        <v/>
      </c>
      <c r="D13" s="39" t="str">
        <f>IF(ISBLANK('Control Entry'!E57),"",'Control Entry'!E57)</f>
        <v/>
      </c>
      <c r="E13" s="31" t="str">
        <f>IF(ISBLANK('Control Entry'!G57),"",'Control Entry'!G57)</f>
        <v/>
      </c>
      <c r="F13" s="95" t="str">
        <f>IF(ISBLANK('Control Entry'!J57),"",'Control Entry'!J57)</f>
        <v/>
      </c>
      <c r="G13" s="96"/>
      <c r="H13" s="26" t="s">
        <v>29</v>
      </c>
      <c r="J13" s="14" t="s">
        <v>40</v>
      </c>
      <c r="L13" s="233"/>
      <c r="M13" s="233"/>
      <c r="N13" s="233"/>
      <c r="O13" s="18"/>
      <c r="P13" s="17" t="s">
        <v>41</v>
      </c>
      <c r="Q13" s="17"/>
      <c r="R13" s="212"/>
      <c r="S13" s="212"/>
      <c r="T13" s="212"/>
      <c r="U13" s="212"/>
    </row>
    <row r="14" spans="1:22" ht="36" customHeight="1" thickBot="1" x14ac:dyDescent="0.25">
      <c r="A14" s="32"/>
      <c r="B14" s="33" t="str">
        <f>'Control Entry'!N57</f>
        <v/>
      </c>
      <c r="C14" s="33" t="str">
        <f>'Control Entry'!O57</f>
        <v/>
      </c>
      <c r="D14" s="34"/>
      <c r="E14" s="35" t="str">
        <f>IF(ISBLANK('Control Entry'!H57),"",'Control Entry'!H57)</f>
        <v/>
      </c>
      <c r="F14" s="100" t="str">
        <f>IF(ISBLANK('Control Entry'!K57),"",'Control Entry'!K57)</f>
        <v/>
      </c>
      <c r="G14" s="99"/>
      <c r="H14" s="26" t="s">
        <v>29</v>
      </c>
    </row>
    <row r="15" spans="1:22" ht="36" customHeight="1" x14ac:dyDescent="0.2">
      <c r="A15" s="28"/>
      <c r="B15" s="29" t="str">
        <f>'Control Entry'!N58</f>
        <v/>
      </c>
      <c r="C15" s="29" t="str">
        <f>'Control Entry'!O58</f>
        <v/>
      </c>
      <c r="D15" s="36"/>
      <c r="E15" s="31" t="str">
        <f>IF(ISBLANK('Control Entry'!F58),"",'Control Entry'!F58)</f>
        <v/>
      </c>
      <c r="F15" s="95" t="str">
        <f>IF(ISBLANK('Control Entry'!I58),"",'Control Entry'!I58)</f>
        <v/>
      </c>
      <c r="G15" s="96"/>
      <c r="H15" s="26" t="s">
        <v>29</v>
      </c>
      <c r="J15" s="14"/>
      <c r="L15" s="227" t="s">
        <v>58</v>
      </c>
      <c r="M15" s="227"/>
      <c r="N15" s="227"/>
      <c r="O15" s="227"/>
      <c r="P15" s="227"/>
      <c r="Q15" s="227"/>
      <c r="R15" s="227"/>
      <c r="S15" s="227"/>
      <c r="T15" s="227"/>
      <c r="U15" s="227"/>
    </row>
    <row r="16" spans="1:22" ht="36" customHeight="1" thickBot="1" x14ac:dyDescent="0.25">
      <c r="A16" s="37" t="str">
        <f>IF(ISBLANK('Control Entry'!D58),"",'Control Entry'!D58)</f>
        <v/>
      </c>
      <c r="B16" s="38" t="str">
        <f>'Control Entry'!N58</f>
        <v/>
      </c>
      <c r="C16" s="38" t="str">
        <f>'Control Entry'!O58</f>
        <v/>
      </c>
      <c r="D16" s="39" t="str">
        <f>IF(ISBLANK('Control Entry'!E58),"",'Control Entry'!E58)</f>
        <v/>
      </c>
      <c r="E16" s="31" t="str">
        <f>IF(ISBLANK('Control Entry'!G58),"",'Control Entry'!G58)</f>
        <v/>
      </c>
      <c r="F16" s="95" t="str">
        <f>IF(ISBLANK('Control Entry'!J58),"",'Control Entry'!J58)</f>
        <v/>
      </c>
      <c r="G16" s="96"/>
      <c r="H16" s="26" t="s">
        <v>29</v>
      </c>
      <c r="L16" s="236"/>
      <c r="M16" s="236"/>
      <c r="N16" s="236"/>
      <c r="O16" s="236"/>
      <c r="P16" s="236"/>
      <c r="Q16" s="236"/>
      <c r="R16" s="236"/>
      <c r="S16" s="236"/>
      <c r="T16" s="236"/>
      <c r="U16" s="236"/>
    </row>
    <row r="17" spans="1:22" ht="36" customHeight="1" thickBot="1" x14ac:dyDescent="0.25">
      <c r="A17" s="32"/>
      <c r="B17" s="33" t="str">
        <f>'Control Entry'!N58</f>
        <v/>
      </c>
      <c r="C17" s="33" t="str">
        <f>'Control Entry'!O58</f>
        <v/>
      </c>
      <c r="D17" s="34"/>
      <c r="E17" s="35" t="str">
        <f>IF(ISBLANK('Control Entry'!H58),"",'Control Entry'!H58)</f>
        <v/>
      </c>
      <c r="F17" s="100" t="str">
        <f>IF(ISBLANK('Control Entry'!K58),"",'Control Entry'!K58)</f>
        <v/>
      </c>
      <c r="G17" s="99"/>
      <c r="H17" s="26" t="s">
        <v>29</v>
      </c>
    </row>
    <row r="18" spans="1:22" ht="36" customHeight="1" x14ac:dyDescent="0.2">
      <c r="A18" s="28"/>
      <c r="B18" s="29" t="str">
        <f>'Control Entry'!N59</f>
        <v/>
      </c>
      <c r="C18" s="29" t="str">
        <f>'Control Entry'!O59</f>
        <v/>
      </c>
      <c r="D18" s="36"/>
      <c r="E18" s="31" t="str">
        <f>IF(ISBLANK('Control Entry'!F59),"",'Control Entry'!F59)</f>
        <v/>
      </c>
      <c r="F18" s="95" t="str">
        <f>IF(ISBLANK('Control Entry'!I59),"",'Control Entry'!I59)</f>
        <v/>
      </c>
      <c r="G18" s="96"/>
      <c r="H18" s="26" t="s">
        <v>29</v>
      </c>
    </row>
    <row r="19" spans="1:22" ht="36" customHeight="1" x14ac:dyDescent="0.2">
      <c r="A19" s="37" t="str">
        <f>IF(ISBLANK('Control Entry'!D59),"",'Control Entry'!D59)</f>
        <v/>
      </c>
      <c r="B19" s="38" t="str">
        <f>'Control Entry'!N59</f>
        <v/>
      </c>
      <c r="C19" s="38" t="str">
        <f>'Control Entry'!O59</f>
        <v/>
      </c>
      <c r="D19" s="39" t="str">
        <f>IF(ISBLANK('Control Entry'!E59),"",'Control Entry'!E59)</f>
        <v/>
      </c>
      <c r="E19" s="31" t="str">
        <f>IF(ISBLANK('Control Entry'!G59),"",'Control Entry'!G59)</f>
        <v/>
      </c>
      <c r="F19" s="95" t="str">
        <f>IF(ISBLANK('Control Entry'!J59),"",'Control Entry'!J59)</f>
        <v/>
      </c>
      <c r="G19" s="96"/>
      <c r="H19" s="26" t="s">
        <v>29</v>
      </c>
    </row>
    <row r="20" spans="1:22" ht="36" customHeight="1" thickBot="1" x14ac:dyDescent="0.25">
      <c r="A20" s="32"/>
      <c r="B20" s="33" t="str">
        <f>'Control Entry'!N59</f>
        <v/>
      </c>
      <c r="C20" s="33" t="str">
        <f>'Control Entry'!O59</f>
        <v/>
      </c>
      <c r="D20" s="34"/>
      <c r="E20" s="35" t="str">
        <f>IF(ISBLANK('Control Entry'!H59),"",'Control Entry'!H59)</f>
        <v/>
      </c>
      <c r="F20" s="100" t="str">
        <f>IF(ISBLANK('Control Entry'!K59),"",'Control Entry'!K59)</f>
        <v/>
      </c>
      <c r="G20" s="99"/>
      <c r="H20" s="26" t="s">
        <v>29</v>
      </c>
      <c r="J20" s="58" t="s">
        <v>44</v>
      </c>
      <c r="K20" s="58"/>
      <c r="L20" s="223">
        <f>IF(ISBLANK('Control Entry'!B12),"",'Control Entry'!B12)</f>
        <v>45213</v>
      </c>
      <c r="M20" s="223"/>
      <c r="N20" s="223"/>
      <c r="P20" s="17" t="s">
        <v>0</v>
      </c>
      <c r="Q20" s="17"/>
      <c r="S20" s="226">
        <f>IF(ISBLANK('Control Entry'!B13),"",'Control Entry'!B13)</f>
        <v>0.33333333333333331</v>
      </c>
      <c r="T20" s="226"/>
      <c r="U20" s="226"/>
    </row>
    <row r="21" spans="1:22" ht="36" customHeight="1" x14ac:dyDescent="0.2">
      <c r="A21" s="28"/>
      <c r="B21" s="29" t="str">
        <f>'Control Entry'!N60</f>
        <v/>
      </c>
      <c r="C21" s="29" t="str">
        <f>'Control Entry'!O60</f>
        <v/>
      </c>
      <c r="D21" s="36"/>
      <c r="E21" s="31" t="str">
        <f>IF(ISBLANK('Control Entry'!F60),"",'Control Entry'!F60)</f>
        <v/>
      </c>
      <c r="F21" s="95" t="str">
        <f>IF(ISBLANK('Control Entry'!I60),"",'Control Entry'!I60)</f>
        <v/>
      </c>
      <c r="G21" s="96"/>
      <c r="H21" s="26" t="s">
        <v>29</v>
      </c>
      <c r="J21" s="235" t="s">
        <v>87</v>
      </c>
      <c r="K21" s="235"/>
      <c r="L21" s="235"/>
      <c r="M21" s="235"/>
      <c r="N21" s="235"/>
      <c r="O21" s="235"/>
      <c r="P21" s="235"/>
      <c r="Q21" s="235"/>
      <c r="R21" s="235"/>
      <c r="S21" s="235"/>
      <c r="T21" s="235"/>
      <c r="U21" s="235"/>
      <c r="V21" s="27"/>
    </row>
    <row r="22" spans="1:22" ht="36" customHeight="1" thickBot="1" x14ac:dyDescent="0.25">
      <c r="A22" s="37" t="str">
        <f>IF(ISBLANK('Control Entry'!D60),"",'Control Entry'!D60)</f>
        <v/>
      </c>
      <c r="B22" s="38" t="str">
        <f>'Control Entry'!N60</f>
        <v/>
      </c>
      <c r="C22" s="38" t="str">
        <f>'Control Entry'!O60</f>
        <v/>
      </c>
      <c r="D22" s="39" t="str">
        <f>IF(ISBLANK('Control Entry'!E60),"",'Control Entry'!E60)</f>
        <v/>
      </c>
      <c r="E22" s="31" t="str">
        <f>IF(ISBLANK('Control Entry'!G60),"",'Control Entry'!G60)</f>
        <v/>
      </c>
      <c r="F22" s="95" t="str">
        <f>IF(ISBLANK('Control Entry'!J60),"",'Control Entry'!J60)</f>
        <v/>
      </c>
      <c r="G22" s="96"/>
      <c r="H22" s="26" t="s">
        <v>29</v>
      </c>
      <c r="J22" s="17" t="s">
        <v>45</v>
      </c>
      <c r="K22" s="17"/>
      <c r="L22" s="18"/>
      <c r="M22" s="229"/>
      <c r="N22" s="229"/>
      <c r="O22" s="229"/>
      <c r="P22" s="17" t="s">
        <v>1</v>
      </c>
      <c r="Q22" s="17"/>
      <c r="R22" s="18"/>
      <c r="S22" s="229"/>
      <c r="T22" s="229"/>
      <c r="U22" s="229"/>
    </row>
    <row r="23" spans="1:22" ht="36" customHeight="1" thickBot="1" x14ac:dyDescent="0.25">
      <c r="A23" s="32"/>
      <c r="B23" s="33" t="str">
        <f>'Control Entry'!N60</f>
        <v/>
      </c>
      <c r="C23" s="33" t="str">
        <f>'Control Entry'!O60</f>
        <v/>
      </c>
      <c r="D23" s="34"/>
      <c r="E23" s="35" t="str">
        <f>IF(ISBLANK('Control Entry'!H60),"",'Control Entry'!H60)</f>
        <v/>
      </c>
      <c r="F23" s="100" t="str">
        <f>IF(ISBLANK('Control Entry'!K60),"",'Control Entry'!K60)</f>
        <v/>
      </c>
      <c r="G23" s="99"/>
      <c r="H23" s="26" t="s">
        <v>29</v>
      </c>
      <c r="J23" s="79"/>
      <c r="K23" s="79"/>
      <c r="L23" s="56"/>
      <c r="M23" s="56"/>
      <c r="N23" s="56"/>
      <c r="O23" s="21"/>
      <c r="P23" s="55"/>
      <c r="Q23" s="55"/>
      <c r="R23" s="21"/>
      <c r="S23" s="21"/>
      <c r="T23" s="21"/>
      <c r="U23" s="21"/>
      <c r="V23" s="27"/>
    </row>
    <row r="24" spans="1:22" ht="36" customHeight="1" thickBot="1" x14ac:dyDescent="0.25">
      <c r="A24" s="28"/>
      <c r="B24" s="29" t="str">
        <f>'Control Entry'!N61</f>
        <v/>
      </c>
      <c r="C24" s="29" t="str">
        <f>'Control Entry'!O61</f>
        <v/>
      </c>
      <c r="D24" s="36"/>
      <c r="E24" s="31" t="str">
        <f>IF(ISBLANK('Control Entry'!F61),"",'Control Entry'!F61)</f>
        <v/>
      </c>
      <c r="F24" s="95" t="str">
        <f>IF(ISBLANK('Control Entry'!I61),"",'Control Entry'!I61)</f>
        <v/>
      </c>
      <c r="G24" s="96"/>
      <c r="H24" s="26" t="s">
        <v>29</v>
      </c>
      <c r="J24" s="229"/>
      <c r="K24" s="229"/>
      <c r="L24" s="229"/>
      <c r="M24" s="229"/>
      <c r="N24" s="229"/>
      <c r="O24" s="18"/>
      <c r="P24" s="17" t="s">
        <v>2</v>
      </c>
      <c r="Q24" s="17"/>
      <c r="R24" s="18"/>
      <c r="S24" s="229"/>
      <c r="T24" s="229"/>
      <c r="U24" s="229"/>
    </row>
    <row r="25" spans="1:22" ht="36" customHeight="1" x14ac:dyDescent="0.2">
      <c r="A25" s="37" t="str">
        <f>IF(ISBLANK('Control Entry'!D61),"",'Control Entry'!D61)</f>
        <v/>
      </c>
      <c r="B25" s="38" t="str">
        <f>'Control Entry'!N61</f>
        <v/>
      </c>
      <c r="C25" s="38" t="str">
        <f>'Control Entry'!O61</f>
        <v/>
      </c>
      <c r="D25" s="39" t="str">
        <f>IF(ISBLANK('Control Entry'!E61),"",'Control Entry'!E61)</f>
        <v/>
      </c>
      <c r="E25" s="31" t="str">
        <f>IF(ISBLANK('Control Entry'!G61),"",'Control Entry'!G61)</f>
        <v/>
      </c>
      <c r="F25" s="95" t="str">
        <f>IF(ISBLANK('Control Entry'!J61),"",'Control Entry'!J61)</f>
        <v/>
      </c>
      <c r="G25" s="96"/>
      <c r="H25" s="26" t="s">
        <v>29</v>
      </c>
      <c r="J25" s="203" t="s">
        <v>17</v>
      </c>
      <c r="K25" s="203"/>
      <c r="L25" s="203"/>
      <c r="M25" s="203"/>
      <c r="N25" s="203"/>
      <c r="O25" s="50"/>
      <c r="P25" s="197"/>
      <c r="Q25" s="197"/>
      <c r="R25" s="50"/>
      <c r="S25" s="187"/>
      <c r="T25" s="187"/>
      <c r="U25" s="187"/>
      <c r="V25" s="187"/>
    </row>
    <row r="26" spans="1:22" ht="36" customHeight="1" thickBot="1" x14ac:dyDescent="0.25">
      <c r="A26" s="32"/>
      <c r="B26" s="33" t="str">
        <f>'Control Entry'!N61</f>
        <v/>
      </c>
      <c r="C26" s="33" t="str">
        <f>'Control Entry'!O61</f>
        <v/>
      </c>
      <c r="D26" s="34"/>
      <c r="E26" s="35" t="str">
        <f>IF(ISBLANK('Control Entry'!H61),"",'Control Entry'!H61)</f>
        <v/>
      </c>
      <c r="F26" s="100" t="str">
        <f>IF(ISBLANK('Control Entry'!K61),"",'Control Entry'!K61)</f>
        <v/>
      </c>
      <c r="G26" s="99"/>
      <c r="H26" s="26" t="s">
        <v>29</v>
      </c>
    </row>
    <row r="27" spans="1:22" ht="36" customHeight="1" x14ac:dyDescent="0.2">
      <c r="A27" s="28"/>
      <c r="B27" s="29" t="str">
        <f>'Control Entry'!N62</f>
        <v/>
      </c>
      <c r="C27" s="29" t="str">
        <f>'Control Entry'!O62</f>
        <v/>
      </c>
      <c r="D27" s="36"/>
      <c r="E27" s="31" t="str">
        <f>IF(ISBLANK('Control Entry'!F62),"",'Control Entry'!F62)</f>
        <v/>
      </c>
      <c r="F27" s="95" t="str">
        <f>IF(ISBLANK('Control Entry'!I62),"",'Control Entry'!I62)</f>
        <v/>
      </c>
      <c r="G27" s="96"/>
      <c r="H27" s="26" t="s">
        <v>29</v>
      </c>
      <c r="K27" s="186" t="s">
        <v>56</v>
      </c>
      <c r="L27" s="197"/>
      <c r="M27" s="49" t="s">
        <v>57</v>
      </c>
      <c r="N27" s="197" t="s">
        <v>49</v>
      </c>
      <c r="O27" s="197"/>
      <c r="P27" s="197" t="s">
        <v>50</v>
      </c>
      <c r="Q27" s="197"/>
      <c r="R27" s="50" t="s">
        <v>51</v>
      </c>
      <c r="S27" s="187" t="s">
        <v>52</v>
      </c>
      <c r="T27" s="187"/>
      <c r="U27" s="187" t="s">
        <v>53</v>
      </c>
      <c r="V27" s="187"/>
    </row>
    <row r="28" spans="1:22" ht="36" customHeight="1" x14ac:dyDescent="0.2">
      <c r="A28" s="37" t="str">
        <f>IF(ISBLANK('Control Entry'!D62),"",'Control Entry'!D62)</f>
        <v/>
      </c>
      <c r="B28" s="38" t="str">
        <f>'Control Entry'!N62</f>
        <v/>
      </c>
      <c r="C28" s="38" t="str">
        <f>'Control Entry'!O62</f>
        <v/>
      </c>
      <c r="D28" s="39" t="str">
        <f>IF(ISBLANK('Control Entry'!E62),"",'Control Entry'!E62)</f>
        <v/>
      </c>
      <c r="E28" s="31" t="str">
        <f>IF(ISBLANK('Control Entry'!G62),"",'Control Entry'!G62)</f>
        <v/>
      </c>
      <c r="F28" s="95" t="str">
        <f>IF(ISBLANK('Control Entry'!J62),"",'Control Entry'!J62)</f>
        <v/>
      </c>
      <c r="G28" s="96"/>
      <c r="H28" s="26" t="s">
        <v>29</v>
      </c>
    </row>
    <row r="29" spans="1:22" ht="36" customHeight="1" thickBot="1" x14ac:dyDescent="0.25">
      <c r="A29" s="32"/>
      <c r="B29" s="33" t="str">
        <f>'Control Entry'!N62</f>
        <v/>
      </c>
      <c r="C29" s="33" t="str">
        <f>'Control Entry'!O62</f>
        <v/>
      </c>
      <c r="D29" s="34"/>
      <c r="E29" s="35" t="str">
        <f>IF(ISBLANK('Control Entry'!H62),"",'Control Entry'!H62)</f>
        <v/>
      </c>
      <c r="F29" s="100" t="str">
        <f>IF(ISBLANK('Control Entry'!K62),"",'Control Entry'!K62)</f>
        <v/>
      </c>
      <c r="G29" s="99"/>
      <c r="H29" s="26" t="s">
        <v>29</v>
      </c>
      <c r="M29" s="207" t="s">
        <v>42</v>
      </c>
      <c r="N29" s="207"/>
      <c r="O29" s="207"/>
      <c r="P29" s="207"/>
      <c r="Q29" s="207"/>
      <c r="R29" s="207"/>
      <c r="S29" s="207"/>
      <c r="T29" s="207"/>
      <c r="U29" s="53"/>
    </row>
    <row r="30" spans="1:22" ht="36" customHeight="1" x14ac:dyDescent="0.2">
      <c r="A30" s="28"/>
      <c r="B30" s="29" t="str">
        <f>'Control Entry'!N63</f>
        <v/>
      </c>
      <c r="C30" s="29" t="str">
        <f>'Control Entry'!O63</f>
        <v/>
      </c>
      <c r="D30" s="36"/>
      <c r="E30" s="31" t="str">
        <f>IF(ISBLANK('Control Entry'!F63),"",'Control Entry'!F63)</f>
        <v/>
      </c>
      <c r="F30" s="95" t="str">
        <f>IF(ISBLANK('Control Entry'!I63),"",'Control Entry'!I63)</f>
        <v/>
      </c>
      <c r="G30" s="96"/>
      <c r="H30" s="26" t="s">
        <v>29</v>
      </c>
      <c r="M30" s="15"/>
      <c r="N30" s="19"/>
      <c r="O30" s="19"/>
      <c r="P30" s="20"/>
      <c r="Q30" s="102"/>
      <c r="R30" s="19"/>
      <c r="S30" s="19"/>
      <c r="T30" s="20"/>
      <c r="U30" s="21"/>
    </row>
    <row r="31" spans="1:22" ht="36" customHeight="1" x14ac:dyDescent="0.2">
      <c r="A31" s="37" t="str">
        <f>IF(ISBLANK('Control Entry'!D63),"",'Control Entry'!D63)</f>
        <v/>
      </c>
      <c r="B31" s="38" t="str">
        <f>'Control Entry'!N63</f>
        <v/>
      </c>
      <c r="C31" s="38" t="str">
        <f>'Control Entry'!O63</f>
        <v/>
      </c>
      <c r="D31" s="39" t="str">
        <f>IF(ISBLANK('Control Entry'!E63),"",'Control Entry'!E63)</f>
        <v/>
      </c>
      <c r="E31" s="31" t="str">
        <f>IF(ISBLANK('Control Entry'!G63),"",'Control Entry'!G63)</f>
        <v/>
      </c>
      <c r="F31" s="95" t="str">
        <f>IF(ISBLANK('Control Entry'!J63),"",'Control Entry'!J63)</f>
        <v/>
      </c>
      <c r="G31" s="96"/>
      <c r="H31" s="26" t="s">
        <v>29</v>
      </c>
      <c r="M31" s="16"/>
      <c r="N31" s="21"/>
      <c r="O31" s="21"/>
      <c r="P31" s="22"/>
      <c r="Q31" s="103"/>
      <c r="R31" s="21"/>
      <c r="S31" s="21"/>
      <c r="T31" s="22"/>
      <c r="U31" s="21"/>
    </row>
    <row r="32" spans="1:22" ht="36" customHeight="1" thickBot="1" x14ac:dyDescent="0.25">
      <c r="A32" s="32"/>
      <c r="B32" s="33" t="str">
        <f>'Control Entry'!N63</f>
        <v/>
      </c>
      <c r="C32" s="33" t="str">
        <f>'Control Entry'!O63</f>
        <v/>
      </c>
      <c r="D32" s="34"/>
      <c r="E32" s="35" t="str">
        <f>IF(ISBLANK('Control Entry'!H63),"",'Control Entry'!H63)</f>
        <v/>
      </c>
      <c r="F32" s="100" t="str">
        <f>IF(ISBLANK('Control Entry'!K63),"",'Control Entry'!K63)</f>
        <v/>
      </c>
      <c r="G32" s="99"/>
      <c r="H32" s="26" t="s">
        <v>29</v>
      </c>
      <c r="M32" s="216" t="s">
        <v>81</v>
      </c>
      <c r="N32" s="217"/>
      <c r="O32" s="217"/>
      <c r="P32" s="218"/>
      <c r="Q32" s="219">
        <f>'Control Entry'!B3</f>
        <v>45167</v>
      </c>
      <c r="R32" s="220"/>
      <c r="S32" s="220"/>
      <c r="T32" s="221"/>
      <c r="U32" s="21"/>
    </row>
    <row r="33" spans="1:22" ht="36" customHeight="1" x14ac:dyDescent="0.2">
      <c r="A33" s="210" t="s">
        <v>43</v>
      </c>
      <c r="B33" s="210"/>
      <c r="C33" s="210"/>
      <c r="D33" s="210"/>
      <c r="E33" s="210"/>
      <c r="F33" s="210"/>
      <c r="G33" s="210"/>
      <c r="H33" s="40"/>
      <c r="I33" s="40"/>
      <c r="M33" s="208" t="s">
        <v>83</v>
      </c>
      <c r="N33" s="209"/>
      <c r="O33" s="209"/>
      <c r="P33" s="209"/>
      <c r="Q33" s="204">
        <f>'Control Entry'!B4</f>
        <v>45211</v>
      </c>
      <c r="R33" s="205"/>
      <c r="S33" s="205"/>
      <c r="T33" s="205"/>
      <c r="U33" s="90"/>
      <c r="V33" s="56"/>
    </row>
    <row r="34" spans="1:22" ht="36" customHeight="1" x14ac:dyDescent="0.2">
      <c r="A34"/>
      <c r="O34" s="46"/>
      <c r="P34" s="46"/>
      <c r="Q34" s="46"/>
      <c r="R34" s="45"/>
    </row>
    <row r="35" spans="1:22" ht="36" customHeight="1" x14ac:dyDescent="0.2">
      <c r="A35"/>
      <c r="N35" s="207"/>
      <c r="O35" s="207"/>
      <c r="P35" s="207"/>
      <c r="Q35" s="207"/>
      <c r="R35" s="207"/>
      <c r="S35" s="207"/>
      <c r="T35" s="207"/>
      <c r="U35" s="207"/>
    </row>
    <row r="36" spans="1:22" ht="36" customHeight="1" x14ac:dyDescent="0.15">
      <c r="A36"/>
      <c r="N36" s="27"/>
      <c r="O36" s="21"/>
      <c r="P36" s="21"/>
      <c r="Q36" s="21"/>
      <c r="R36" s="21"/>
      <c r="S36" s="21"/>
      <c r="T36" s="21"/>
      <c r="U36" s="21"/>
    </row>
    <row r="37" spans="1:22" ht="36" customHeight="1" x14ac:dyDescent="0.15">
      <c r="A37"/>
      <c r="N37" s="27"/>
      <c r="O37" s="21"/>
      <c r="P37" s="21"/>
      <c r="Q37" s="21"/>
      <c r="R37" s="21"/>
      <c r="S37" s="21"/>
      <c r="T37" s="21"/>
      <c r="U37" s="21"/>
    </row>
    <row r="38" spans="1:22" ht="36" customHeight="1" x14ac:dyDescent="0.2">
      <c r="A38"/>
      <c r="N38" s="54"/>
      <c r="O38" s="21"/>
      <c r="P38" s="21"/>
      <c r="Q38" s="21"/>
      <c r="R38" s="21"/>
      <c r="S38" s="21"/>
      <c r="T38" s="21"/>
      <c r="U38" s="21"/>
    </row>
    <row r="39" spans="1:22" ht="36" customHeight="1" x14ac:dyDescent="0.15">
      <c r="A39"/>
    </row>
    <row r="40" spans="1:22" ht="36" customHeight="1" x14ac:dyDescent="0.15">
      <c r="A40"/>
    </row>
  </sheetData>
  <sheetProtection algorithmName="SHA-512" hashValue="m+5DxS5z0jGPz2enrJCRgFwjkf0y6S+KVRFuN1IjzuBtg7DxgRkCvJA9CD6YWcWRfvJNtgkjCl2dSguY7geJVQ==" saltValue="ged3XotTQX8HcL4AYG6aUg==" spinCount="100000" sheet="1" objects="1" scenarios="1" formatCells="0" selectLockedCells="1"/>
  <mergeCells count="42">
    <mergeCell ref="J21:U21"/>
    <mergeCell ref="L11:N11"/>
    <mergeCell ref="S11:U11"/>
    <mergeCell ref="A1:G1"/>
    <mergeCell ref="K2:U2"/>
    <mergeCell ref="O3:R3"/>
    <mergeCell ref="M4:T4"/>
    <mergeCell ref="N5:O5"/>
    <mergeCell ref="R5:U5"/>
    <mergeCell ref="L6:U6"/>
    <mergeCell ref="L8:Q8"/>
    <mergeCell ref="T8:U8"/>
    <mergeCell ref="L9:U9"/>
    <mergeCell ref="L10:U10"/>
    <mergeCell ref="J25:N25"/>
    <mergeCell ref="P25:Q25"/>
    <mergeCell ref="S25:T25"/>
    <mergeCell ref="U25:V25"/>
    <mergeCell ref="L12:N12"/>
    <mergeCell ref="S12:U12"/>
    <mergeCell ref="L13:N13"/>
    <mergeCell ref="R13:U13"/>
    <mergeCell ref="L15:U15"/>
    <mergeCell ref="L16:U16"/>
    <mergeCell ref="L20:N20"/>
    <mergeCell ref="S20:U20"/>
    <mergeCell ref="S22:U22"/>
    <mergeCell ref="J24:N24"/>
    <mergeCell ref="S24:U24"/>
    <mergeCell ref="M22:O22"/>
    <mergeCell ref="A33:G33"/>
    <mergeCell ref="M33:P33"/>
    <mergeCell ref="Q33:T33"/>
    <mergeCell ref="N35:U35"/>
    <mergeCell ref="K27:L27"/>
    <mergeCell ref="N27:O27"/>
    <mergeCell ref="P27:Q27"/>
    <mergeCell ref="S27:T27"/>
    <mergeCell ref="U27:V27"/>
    <mergeCell ref="M29:T29"/>
    <mergeCell ref="M32:P32"/>
    <mergeCell ref="Q32:T32"/>
  </mergeCells>
  <conditionalFormatting sqref="K27:V27">
    <cfRule type="expression" dxfId="6" priority="7">
      <formula>$S$3="#2"</formula>
    </cfRule>
    <cfRule type="expression" dxfId="5" priority="8">
      <formula>$S$3="#4"</formula>
    </cfRule>
  </conditionalFormatting>
  <conditionalFormatting sqref="P22:U24">
    <cfRule type="expression" dxfId="4" priority="5">
      <formula>$S$3="#2"</formula>
    </cfRule>
    <cfRule type="expression" dxfId="3" priority="6">
      <formula>$S$3="#4"</formula>
    </cfRule>
  </conditionalFormatting>
  <conditionalFormatting sqref="J22:O22">
    <cfRule type="expression" dxfId="2" priority="3">
      <formula>$S$3="#2"</formula>
    </cfRule>
    <cfRule type="expression" dxfId="1" priority="4">
      <formula>$S$3="#4"</formula>
    </cfRule>
  </conditionalFormatting>
  <conditionalFormatting sqref="J21:U21">
    <cfRule type="expression" dxfId="0" priority="2">
      <formula>AND($S$3&lt;&gt;"#2",$S$3&lt;&gt;"#4")</formula>
    </cfRule>
  </conditionalFormatting>
  <printOptions horizontalCentered="1" verticalCentered="1"/>
  <pageMargins left="0.2" right="0.2" top="0.2" bottom="0.2" header="0.51" footer="0.51"/>
  <pageSetup scale="44"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31</vt:i4>
      </vt:variant>
    </vt:vector>
  </HeadingPairs>
  <TitlesOfParts>
    <vt:vector size="37" baseType="lpstr">
      <vt:lpstr>Control Entry</vt:lpstr>
      <vt:lpstr>Card #1</vt:lpstr>
      <vt:lpstr>Control Card #1</vt:lpstr>
      <vt:lpstr>Control Card #2</vt:lpstr>
      <vt:lpstr>Control Card #3</vt:lpstr>
      <vt:lpstr>Control Card #4</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'Card #1'!Print_Area</vt:lpstr>
      <vt:lpstr>'Control Card #1'!Print_Titles</vt:lpstr>
      <vt:lpstr>'Control Card #2'!Print_Titles</vt:lpstr>
      <vt:lpstr>'Control Card #3'!Print_Titles</vt:lpstr>
      <vt:lpstr>'Control Card #4'!Print_Titles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2023-10-12T17:50:34Z</cp:lastPrinted>
  <dcterms:created xsi:type="dcterms:W3CDTF">1997-11-12T04:43:39Z</dcterms:created>
  <dcterms:modified xsi:type="dcterms:W3CDTF">2023-10-12T18:13:56Z</dcterms:modified>
</cp:coreProperties>
</file>