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2" activeTab="3"/>
  </bookViews>
  <sheets>
    <sheet name="Control Entry" sheetId="1" r:id="rId1"/>
    <sheet name="Control Sheet" sheetId="2" r:id="rId2"/>
    <sheet name="Riders" sheetId="3" r:id="rId3"/>
    <sheet name="VI1000A 050625" sheetId="4" r:id="rId4"/>
    <sheet name="Web Page" sheetId="5" r:id="rId5"/>
    <sheet name="Web results" sheetId="6" r:id="rId6"/>
  </sheets>
  <definedNames>
    <definedName name="_xlnm.Print_Titles" localSheetId="1">'Control Sheet'!$1:$2</definedName>
    <definedName name="_xlnm.Print_Area" localSheetId="3">'VI1000A 050625'!$A$1:$I$96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<sst xmlns="http://schemas.openxmlformats.org/spreadsheetml/2006/main" count="788" uniqueCount="275">
  <si>
    <t>Brevet Length:</t>
  </si>
  <si>
    <t>Maximum Time:</t>
  </si>
  <si>
    <t>Brevet Description:</t>
  </si>
  <si>
    <t>Victoria - Port Hardy - Victoria</t>
  </si>
  <si>
    <t>Brevet Number:</t>
  </si>
  <si>
    <t>VI1000A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</si>
  <si>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</si>
  <si>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</si>
  <si>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</si>
  <si>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</si>
  <si>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</si>
  <si>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</si>
  <si>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</si>
  <si>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</si>
  <si>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</si>
  <si>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</si>
  <si>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</si>
  <si>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</si>
  <si>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</si>
  <si>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VICTORIA</t>
  </si>
  <si>
    <t>Tim Horton's</t>
  </si>
  <si>
    <t>Dunedin Square</t>
  </si>
  <si>
    <t>Gorge@Dunedin</t>
  </si>
  <si>
    <t>Control 2</t>
  </si>
  <si>
    <t>NANAIMO</t>
  </si>
  <si>
    <t>7-11</t>
  </si>
  <si>
    <t>Terminal@</t>
  </si>
  <si>
    <t>Townsite</t>
  </si>
  <si>
    <t>Control 3</t>
  </si>
  <si>
    <t>QUALICUM BEACH</t>
  </si>
  <si>
    <t>Shell Gas</t>
  </si>
  <si>
    <t>Highway #19A@</t>
  </si>
  <si>
    <t>Memorial</t>
  </si>
  <si>
    <t>Control 4</t>
  </si>
  <si>
    <t>WILLOW POINT</t>
  </si>
  <si>
    <t>Hilchey</t>
  </si>
  <si>
    <t>Control 5</t>
  </si>
  <si>
    <t>SAYWARD JUNCTION</t>
  </si>
  <si>
    <t>Charlie's Place</t>
  </si>
  <si>
    <t>Highway #19@</t>
  </si>
  <si>
    <t>Highway #19A</t>
  </si>
  <si>
    <t>Control 6</t>
  </si>
  <si>
    <t>WOSS CAMP</t>
  </si>
  <si>
    <t>Your choice</t>
  </si>
  <si>
    <t>Control 7</t>
  </si>
  <si>
    <t>PORT HARDY</t>
  </si>
  <si>
    <t xml:space="preserve">Granville 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</si>
  <si>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</si>
  <si>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</si>
  <si>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</si>
  <si>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</si>
  <si>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</si>
  <si>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</si>
  <si>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</si>
  <si>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</si>
  <si>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</si>
  <si>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</si>
  <si>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</si>
  <si>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</si>
  <si>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</si>
  <si>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</si>
  <si>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</si>
  <si>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</si>
  <si>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</si>
  <si>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</si>
  <si>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</si>
  <si>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</si>
  <si>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 #2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</si>
  <si>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</si>
  <si>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</si>
  <si>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</si>
  <si>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</si>
  <si>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</si>
  <si>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</si>
  <si>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</si>
  <si>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</si>
  <si>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</si>
  <si>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</si>
  <si>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</si>
  <si>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</si>
  <si>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</si>
  <si>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</si>
  <si>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</si>
  <si>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</si>
  <si>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</si>
  <si>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</si>
  <si>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</si>
  <si>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</si>
  <si>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Control Card #1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</si>
  <si>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</si>
  <si>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</si>
  <si>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</si>
  <si>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</si>
  <si>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</si>
  <si>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</si>
  <si>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</si>
  <si>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</si>
  <si>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</si>
  <si>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Codes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</si>
  <si>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</si>
  <si>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</si>
  <si>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</si>
  <si>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</si>
  <si>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</si>
  <si>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</si>
  <si>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</si>
  <si>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</si>
  <si>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</si>
  <si>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</si>
  <si>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</si>
  <si>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START--Tim Horton's, Victoria</t>
  </si>
  <si>
    <t>SO</t>
  </si>
  <si>
    <t>Cross Spencer</t>
  </si>
  <si>
    <t>North through Duncan</t>
  </si>
  <si>
    <t>North through Ladysmith</t>
  </si>
  <si>
    <t>R</t>
  </si>
  <si>
    <t>DUNEDIN</t>
  </si>
  <si>
    <t>HWY #1 (Hwy #19)(top of hill)</t>
  </si>
  <si>
    <t>L</t>
  </si>
  <si>
    <t>W. BURNSIDE (at T)</t>
  </si>
  <si>
    <t>HWY #1(Hwy #19A) (into Nanaimo)</t>
  </si>
  <si>
    <t>E. BURNSIDE (at Harriet)</t>
  </si>
  <si>
    <t>NICOL (Hwy #1)(entering Nanaimo)</t>
  </si>
  <si>
    <t>TILLICUM (lights)</t>
  </si>
  <si>
    <t>TERMINAL (Hwy #1)(@Commercial)</t>
  </si>
  <si>
    <t>HWY #1 North (lights)</t>
  </si>
  <si>
    <t>TERMINAL (Hwy #19A)(@Stewart)</t>
  </si>
  <si>
    <t>EXIT #8 (Helmcken)</t>
  </si>
  <si>
    <t>Cross Helmcken onto on-ramp</t>
  </si>
  <si>
    <t>CONTROL #1--7-11</t>
  </si>
  <si>
    <t>HIGHWAY #1</t>
  </si>
  <si>
    <t>Terminal @ Townsite</t>
  </si>
  <si>
    <t>EXIT #10 (Colwood)</t>
  </si>
  <si>
    <t>Nanaimo</t>
  </si>
  <si>
    <t>HWY #14 (left lane to Colwood)</t>
  </si>
  <si>
    <t>BIKE ROUTE Hwy #1 North</t>
  </si>
  <si>
    <t>TERMINAL (Hwy #19A north)</t>
  </si>
  <si>
    <t>N. ISLAND HWY (Hwy #19A)</t>
  </si>
  <si>
    <t>HWY #19</t>
  </si>
  <si>
    <t>HWY #19A (old Island highway)</t>
  </si>
  <si>
    <t>HIGHWAY #1 (north)</t>
  </si>
  <si>
    <t>North through Parksville</t>
  </si>
  <si>
    <t>EXIT #14 (Millstream)</t>
  </si>
  <si>
    <t>MEMORIAL., Qualicum Beach</t>
  </si>
  <si>
    <t>OFF-RAMP to Langford</t>
  </si>
  <si>
    <t>CONTROL #2--Shell Gas</t>
  </si>
  <si>
    <t>Qualicum Beach</t>
  </si>
  <si>
    <t>MEMORIAL</t>
  </si>
  <si>
    <t>HWY #19 (to Port Hardy)</t>
  </si>
  <si>
    <t>HWY #19A (north to Courtenay)</t>
  </si>
  <si>
    <t xml:space="preserve">WOSS </t>
  </si>
  <si>
    <t>HWY #19A (@ 29th St.lights)</t>
  </si>
  <si>
    <t>HWY #19A (17th St., Courtenay)</t>
  </si>
  <si>
    <t>CONTROL #5 --Your choice</t>
  </si>
  <si>
    <t>HWY #19A (Comox Rd.)</t>
  </si>
  <si>
    <t>Woss Camp</t>
  </si>
  <si>
    <t xml:space="preserve">HWY #19A (2nd lights) </t>
  </si>
  <si>
    <t>north through Ocean Grove</t>
  </si>
  <si>
    <t>U</t>
  </si>
  <si>
    <t>WOSS (return to Hwy #19)</t>
  </si>
  <si>
    <t xml:space="preserve">HWY #19A (old Island Hwy) </t>
  </si>
  <si>
    <t>HWY #19 North (stop)</t>
  </si>
  <si>
    <t>continue north past Port McNeil</t>
  </si>
  <si>
    <t>CONTROL #3 --7-11</t>
  </si>
  <si>
    <t>DOUGLAS (@ferry turnoff)</t>
  </si>
  <si>
    <t>Willow Point</t>
  </si>
  <si>
    <t>GRANVILLE (@Hardy Inn)</t>
  </si>
  <si>
    <t>HWY #19A (north)</t>
  </si>
  <si>
    <t>CONTROL #6--Shell Gas</t>
  </si>
  <si>
    <t>HWY #19A (past ferry)</t>
  </si>
  <si>
    <t>Port Hardy</t>
  </si>
  <si>
    <t>HWY #19 (@Tamarac)</t>
  </si>
  <si>
    <t>HWY #19 (@Woodburn)</t>
  </si>
  <si>
    <t>CONTROL #4--Charlie's Place</t>
  </si>
  <si>
    <t>Sayward Junction</t>
  </si>
  <si>
    <t>Go km</t>
  </si>
  <si>
    <t>ROUTE</t>
  </si>
  <si>
    <t>Total km</t>
  </si>
  <si>
    <t>GRANVILLE</t>
  </si>
  <si>
    <t>HWY #19A (south)</t>
  </si>
  <si>
    <t>DOUGLAS (Hwy #19)</t>
  </si>
  <si>
    <t>south through Ocean Grove</t>
  </si>
  <si>
    <t>HWY #19A</t>
  </si>
  <si>
    <t>continue south past Port McNeil</t>
  </si>
  <si>
    <t>WOSS</t>
  </si>
  <si>
    <t>HWY #19A (at PetroCan)</t>
  </si>
  <si>
    <t>CONTROL #7 --Your choice</t>
  </si>
  <si>
    <t>CONTROL #10--Shell Gas</t>
  </si>
  <si>
    <t>HWY #19 South (stop)</t>
  </si>
  <si>
    <t>HWY #19A (south to Nanaimo)</t>
  </si>
  <si>
    <t>CONTROL #8--Charlie's Place</t>
  </si>
  <si>
    <t>South through Parksville</t>
  </si>
  <si>
    <t>HWY #19 (south to Nanaimo)</t>
  </si>
  <si>
    <t>HWY #19A (exit 29)</t>
  </si>
  <si>
    <t>cross Hwy #19 (Nanaimo Pkwy)</t>
  </si>
  <si>
    <t>HWY #19A (into Campbell River)</t>
  </si>
  <si>
    <t>TERMINAL(Hwy #19A)(@St. George)</t>
  </si>
  <si>
    <t>HWY #19A (at Chevron)</t>
  </si>
  <si>
    <t>CONTROL #11--7-11, Nanaimo</t>
  </si>
  <si>
    <t>CONTROL #9--7-11</t>
  </si>
  <si>
    <t>TERMINAL (Hwy #19A south)</t>
  </si>
  <si>
    <t>HWY #1 (to Victoria)</t>
  </si>
  <si>
    <t>TERMINAL (Hwy #1)(@Stewart)</t>
  </si>
  <si>
    <t>BURNSIDE off ramp</t>
  </si>
  <si>
    <t>NICOL (Hwy #1)(@Commercial)</t>
  </si>
  <si>
    <t>E. BURNSIDE (stop)</t>
  </si>
  <si>
    <t>HWY #1 (Hwy #19A)</t>
  </si>
  <si>
    <t>cross Tillicum (lights)</t>
  </si>
  <si>
    <t>HWY #1 (Hwy #19)</t>
  </si>
  <si>
    <t>E. BURNSIDE</t>
  </si>
  <si>
    <t>HWY #1 (south to Victoria)</t>
  </si>
  <si>
    <t>W. BURNSIDE (@ Harriet)</t>
  </si>
  <si>
    <t>South through Ladysmith</t>
  </si>
  <si>
    <t>DUNEDIN (at ABC)</t>
  </si>
  <si>
    <t>South through Duncan</t>
  </si>
  <si>
    <t>FINISH--Tim Horton's, Victoria</t>
  </si>
  <si>
    <t xml:space="preserve">Bike Route Hwy #1 South </t>
  </si>
  <si>
    <t>Through underpass</t>
  </si>
  <si>
    <t xml:space="preserve">Bike Route Hwy #1 South (stop sign) </t>
  </si>
  <si>
    <t>Cross Hwy #14 (pedestrian light)</t>
  </si>
  <si>
    <t>Exit #8 (Helmcken)</t>
  </si>
  <si>
    <t>!!!CONGRATULATIONS!!!</t>
  </si>
  <si>
    <t>START--Payless Gas, Victoria</t>
  </si>
  <si>
    <t>Go to100 km point</t>
  </si>
  <si>
    <t>Audley @ Douglas</t>
  </si>
  <si>
    <t>Go to 200 km point</t>
  </si>
  <si>
    <t>Go to 300 km point</t>
  </si>
  <si>
    <t>Go to 400 km point</t>
  </si>
  <si>
    <t>DOUGLAS (Hwy #1) (north)</t>
  </si>
  <si>
    <t>Go to 500 km point</t>
  </si>
  <si>
    <t>HWY #1 (Town&amp;Country)</t>
  </si>
  <si>
    <t>Go to 600 km point</t>
  </si>
  <si>
    <t>Go to 700 km point</t>
  </si>
  <si>
    <t>Go to 800 km point</t>
  </si>
  <si>
    <t>Go to 900 km point</t>
  </si>
  <si>
    <t>Go to Control #1</t>
  </si>
  <si>
    <t>Go to Control #2</t>
  </si>
  <si>
    <t>Go to Control #3</t>
  </si>
  <si>
    <t>Go to Control #4</t>
  </si>
  <si>
    <t>Go to Control #5</t>
  </si>
  <si>
    <t>Go to Control #6</t>
  </si>
  <si>
    <t>Go to Control #7</t>
  </si>
  <si>
    <t>Go to Control #8</t>
  </si>
  <si>
    <t>Go to Control #9</t>
  </si>
  <si>
    <t>Go to Finish</t>
  </si>
  <si>
    <t>Return to start</t>
  </si>
  <si>
    <t>CONTROL #2--Payless Gas</t>
  </si>
  <si>
    <t>HWY #19 (@ 29th St.lights)</t>
  </si>
  <si>
    <t>HWY #19 (17th St., Courtenay)</t>
  </si>
  <si>
    <t>HWY #19 (Comox Rd.)</t>
  </si>
  <si>
    <t xml:space="preserve">HWY #19 (old Island Hwy) </t>
  </si>
  <si>
    <t>continue north past Woss</t>
  </si>
  <si>
    <t>CONTROL #5--Payless Gas</t>
  </si>
  <si>
    <t>continue south past Woss</t>
  </si>
  <si>
    <t>CONTROL #6--Charlie's Place</t>
  </si>
  <si>
    <t>CONTROL #7--7-11</t>
  </si>
  <si>
    <t>HWY #19 (south)(@Jubilee Pkwy)</t>
  </si>
  <si>
    <t>HWY #19 (Comox Rd)</t>
  </si>
  <si>
    <t>CONTROL #8--Payless Gas</t>
  </si>
  <si>
    <t>CONTROL #9--7-11, Nanaimo</t>
  </si>
  <si>
    <t>COBBLE HILL (Rest Area on left)</t>
  </si>
  <si>
    <t>SHAWNIGAN LAKE (at Hutchinson)</t>
  </si>
  <si>
    <t>SHAWNIGAN LAKE (at lake)</t>
  </si>
  <si>
    <t>SHAWNIGAN LAKE (to Galley Café)</t>
  </si>
  <si>
    <t>SHAWNIGAN LAKE</t>
  </si>
  <si>
    <t>HWY #1</t>
  </si>
  <si>
    <t>DOUGLAS (Hwy #1)</t>
  </si>
  <si>
    <t>FINISH--Payless Gas, Victoria</t>
  </si>
  <si>
    <t>RIDER</t>
  </si>
  <si>
    <t>TIME</t>
  </si>
  <si>
    <t>Time is in hours and minutes.</t>
  </si>
  <si>
    <t>l   includes 1/2 hour penalty - no lights</t>
  </si>
  <si>
    <t>f   includes 1/2 hour penalty - no fenders</t>
  </si>
  <si>
    <t>e  rode 1 week early</t>
  </si>
  <si>
    <t>d  rode 1 week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</si>
</sst>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11" fillId="0" borderId="17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9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8" fillId="0" borderId="0" xfId="0" applyFont="1" applyBorder="1" applyAlignment="1" applyProtection="1">
      <alignment/>
      <protection/>
    </xf>
    <xf numFmtId="169" fontId="4" fillId="0" borderId="23" xfId="0" applyNumberFormat="1" applyFont="1" applyBorder="1" applyAlignment="1">
      <alignment horizontal="center" wrapText="1"/>
    </xf>
    <xf numFmtId="171" fontId="4" fillId="0" borderId="23" xfId="0" applyNumberFormat="1" applyFont="1" applyBorder="1" applyAlignment="1">
      <alignment horizontal="center" vertical="center" wrapText="1"/>
    </xf>
    <xf numFmtId="164" fontId="4" fillId="0" borderId="20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/>
    </xf>
    <xf numFmtId="164" fontId="3" fillId="0" borderId="23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4" xfId="0" applyNumberFormat="1" applyFont="1" applyFill="1" applyBorder="1" applyAlignment="1">
      <alignment horizontal="center" textRotation="90"/>
    </xf>
    <xf numFmtId="166" fontId="0" fillId="3" borderId="25" xfId="0" applyNumberFormat="1" applyFont="1" applyFill="1" applyBorder="1" applyAlignment="1">
      <alignment horizontal="center" wrapText="1"/>
    </xf>
    <xf numFmtId="169" fontId="0" fillId="3" borderId="26" xfId="0" applyNumberFormat="1" applyFont="1" applyFill="1" applyBorder="1" applyAlignment="1">
      <alignment horizontal="center" textRotation="90" wrapText="1"/>
    </xf>
    <xf numFmtId="169" fontId="0" fillId="0" borderId="27" xfId="0" applyNumberFormat="1" applyBorder="1" applyAlignment="1" applyProtection="1">
      <alignment horizontal="right"/>
      <protection locked="0"/>
    </xf>
    <xf numFmtId="166" fontId="0" fillId="0" borderId="28" xfId="0" applyNumberFormat="1" applyBorder="1" applyAlignment="1" applyProtection="1">
      <alignment horizontal="center"/>
      <protection locked="0"/>
    </xf>
    <xf numFmtId="166" fontId="13" fillId="0" borderId="29" xfId="0" applyNumberFormat="1" applyFont="1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right"/>
      <protection locked="0"/>
    </xf>
    <xf numFmtId="166" fontId="0" fillId="0" borderId="28" xfId="0" applyNumberFormat="1" applyFont="1" applyBorder="1" applyAlignment="1" applyProtection="1">
      <alignment horizontal="left"/>
      <protection locked="0"/>
    </xf>
    <xf numFmtId="164" fontId="0" fillId="0" borderId="28" xfId="0" applyBorder="1" applyAlignment="1" applyProtection="1">
      <alignment horizontal="center"/>
      <protection locked="0"/>
    </xf>
    <xf numFmtId="164" fontId="13" fillId="0" borderId="28" xfId="0" applyFont="1" applyBorder="1" applyAlignment="1" applyProtection="1">
      <alignment horizontal="center"/>
      <protection locked="0"/>
    </xf>
    <xf numFmtId="166" fontId="13" fillId="0" borderId="28" xfId="0" applyNumberFormat="1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/>
      <protection locked="0"/>
    </xf>
    <xf numFmtId="166" fontId="0" fillId="0" borderId="28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left"/>
    </xf>
    <xf numFmtId="169" fontId="0" fillId="0" borderId="28" xfId="0" applyNumberFormat="1" applyFont="1" applyBorder="1" applyAlignment="1">
      <alignment/>
    </xf>
    <xf numFmtId="164" fontId="0" fillId="0" borderId="28" xfId="0" applyFont="1" applyBorder="1" applyAlignment="1">
      <alignment/>
    </xf>
    <xf numFmtId="169" fontId="0" fillId="0" borderId="0" xfId="0" applyNumberFormat="1" applyAlignment="1">
      <alignment/>
    </xf>
    <xf numFmtId="166" fontId="0" fillId="0" borderId="29" xfId="0" applyNumberFormat="1" applyBorder="1" applyAlignment="1" applyProtection="1">
      <alignment horizontal="left"/>
      <protection locked="0"/>
    </xf>
    <xf numFmtId="169" fontId="13" fillId="0" borderId="27" xfId="0" applyNumberFormat="1" applyFont="1" applyBorder="1" applyAlignment="1" applyProtection="1">
      <alignment horizontal="right"/>
      <protection locked="0"/>
    </xf>
    <xf numFmtId="166" fontId="0" fillId="0" borderId="29" xfId="0" applyNumberFormat="1" applyFont="1" applyBorder="1" applyAlignment="1" applyProtection="1">
      <alignment horizontal="center"/>
      <protection locked="0"/>
    </xf>
    <xf numFmtId="164" fontId="13" fillId="0" borderId="29" xfId="0" applyFont="1" applyBorder="1" applyAlignment="1" applyProtection="1">
      <alignment horizontal="center"/>
      <protection locked="0"/>
    </xf>
    <xf numFmtId="169" fontId="13" fillId="0" borderId="30" xfId="0" applyNumberFormat="1" applyFont="1" applyBorder="1" applyAlignment="1" applyProtection="1">
      <alignment horizontal="right"/>
      <protection locked="0"/>
    </xf>
    <xf numFmtId="169" fontId="0" fillId="0" borderId="31" xfId="0" applyNumberFormat="1" applyBorder="1" applyAlignment="1" applyProtection="1">
      <alignment horizontal="right"/>
      <protection locked="0"/>
    </xf>
    <xf numFmtId="166" fontId="0" fillId="0" borderId="32" xfId="0" applyNumberFormat="1" applyFont="1" applyBorder="1" applyAlignment="1" applyProtection="1">
      <alignment horizontal="center"/>
      <protection locked="0"/>
    </xf>
    <xf numFmtId="166" fontId="0" fillId="0" borderId="32" xfId="0" applyNumberFormat="1" applyFont="1" applyBorder="1" applyAlignment="1" applyProtection="1">
      <alignment horizontal="left"/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166" fontId="13" fillId="0" borderId="32" xfId="0" applyNumberFormat="1" applyFont="1" applyBorder="1" applyAlignment="1" applyProtection="1">
      <alignment horizontal="center"/>
      <protection locked="0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3" xfId="0" applyBorder="1" applyAlignment="1">
      <alignment/>
    </xf>
    <xf numFmtId="164" fontId="0" fillId="0" borderId="28" xfId="0" applyFont="1" applyFill="1" applyBorder="1" applyAlignment="1" applyProtection="1">
      <alignment/>
      <protection locked="0"/>
    </xf>
    <xf numFmtId="169" fontId="0" fillId="0" borderId="30" xfId="0" applyNumberFormat="1" applyFill="1" applyBorder="1" applyAlignment="1" applyProtection="1">
      <alignment horizontal="right"/>
      <protection locked="0"/>
    </xf>
    <xf numFmtId="166" fontId="0" fillId="0" borderId="28" xfId="0" applyNumberFormat="1" applyFont="1" applyFill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/>
      <protection locked="0"/>
    </xf>
    <xf numFmtId="164" fontId="13" fillId="0" borderId="29" xfId="0" applyFont="1" applyBorder="1" applyAlignment="1">
      <alignment horizontal="center"/>
    </xf>
    <xf numFmtId="169" fontId="0" fillId="3" borderId="34" xfId="0" applyNumberFormat="1" applyFont="1" applyFill="1" applyBorder="1" applyAlignment="1">
      <alignment horizontal="right" textRotation="90"/>
    </xf>
    <xf numFmtId="166" fontId="0" fillId="3" borderId="25" xfId="0" applyNumberFormat="1" applyFont="1" applyFill="1" applyBorder="1" applyAlignment="1">
      <alignment horizontal="center" textRotation="90"/>
    </xf>
    <xf numFmtId="166" fontId="0" fillId="3" borderId="25" xfId="0" applyNumberFormat="1" applyFont="1" applyFill="1" applyBorder="1" applyAlignment="1">
      <alignment horizontal="center"/>
    </xf>
    <xf numFmtId="169" fontId="0" fillId="3" borderId="26" xfId="0" applyNumberFormat="1" applyFont="1" applyFill="1" applyBorder="1" applyAlignment="1">
      <alignment horizontal="right" textRotation="90"/>
    </xf>
    <xf numFmtId="166" fontId="0" fillId="0" borderId="29" xfId="0" applyNumberFormat="1" applyFont="1" applyBorder="1" applyAlignment="1">
      <alignment horizontal="left"/>
    </xf>
    <xf numFmtId="164" fontId="0" fillId="0" borderId="29" xfId="0" applyFont="1" applyFill="1" applyBorder="1" applyAlignment="1" applyProtection="1">
      <alignment/>
      <protection locked="0"/>
    </xf>
    <xf numFmtId="166" fontId="0" fillId="0" borderId="29" xfId="0" applyNumberFormat="1" applyFont="1" applyBorder="1" applyAlignment="1">
      <alignment horizontal="center"/>
    </xf>
    <xf numFmtId="169" fontId="0" fillId="0" borderId="30" xfId="0" applyNumberFormat="1" applyBorder="1" applyAlignment="1">
      <alignment horizontal="right"/>
    </xf>
    <xf numFmtId="166" fontId="13" fillId="0" borderId="28" xfId="0" applyNumberFormat="1" applyFont="1" applyBorder="1" applyAlignment="1">
      <alignment horizontal="center"/>
    </xf>
    <xf numFmtId="164" fontId="0" fillId="0" borderId="28" xfId="0" applyFont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 horizontal="left"/>
      <protection locked="0"/>
    </xf>
    <xf numFmtId="164" fontId="0" fillId="0" borderId="28" xfId="0" applyFont="1" applyBorder="1" applyAlignment="1" applyProtection="1">
      <alignment horizontal="center"/>
      <protection locked="0"/>
    </xf>
    <xf numFmtId="169" fontId="0" fillId="0" borderId="30" xfId="0" applyNumberFormat="1" applyFont="1" applyBorder="1" applyAlignment="1" applyProtection="1">
      <alignment horizontal="right"/>
      <protection locked="0"/>
    </xf>
    <xf numFmtId="164" fontId="0" fillId="0" borderId="28" xfId="0" applyBorder="1" applyAlignment="1" applyProtection="1">
      <alignment horizontal="left"/>
      <protection locked="0"/>
    </xf>
    <xf numFmtId="166" fontId="13" fillId="0" borderId="29" xfId="0" applyNumberFormat="1" applyFont="1" applyBorder="1" applyAlignment="1">
      <alignment horizontal="center"/>
    </xf>
    <xf numFmtId="164" fontId="14" fillId="0" borderId="32" xfId="0" applyFont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right"/>
      <protection locked="0"/>
    </xf>
    <xf numFmtId="164" fontId="0" fillId="0" borderId="0" xfId="0" applyAlignment="1" applyProtection="1">
      <alignment/>
      <protection locked="0"/>
    </xf>
    <xf numFmtId="164" fontId="12" fillId="0" borderId="0" xfId="0" applyFont="1" applyBorder="1" applyAlignment="1">
      <alignment horizontal="center"/>
    </xf>
    <xf numFmtId="164" fontId="15" fillId="4" borderId="34" xfId="0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15" fillId="4" borderId="10" xfId="0" applyFont="1" applyFill="1" applyBorder="1" applyAlignment="1">
      <alignment horizontal="center"/>
    </xf>
    <xf numFmtId="164" fontId="0" fillId="0" borderId="34" xfId="0" applyFont="1" applyBorder="1" applyAlignment="1" applyProtection="1">
      <alignment/>
      <protection locked="0"/>
    </xf>
    <xf numFmtId="164" fontId="0" fillId="0" borderId="17" xfId="0" applyFont="1" applyBorder="1" applyAlignment="1" applyProtection="1">
      <alignment/>
      <protection locked="0"/>
    </xf>
    <xf numFmtId="164" fontId="0" fillId="0" borderId="24" xfId="0" applyBorder="1" applyAlignment="1">
      <alignment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571500</xdr:colOff>
      <xdr:row>33</xdr:row>
      <xdr:rowOff>85725</xdr:rowOff>
    </xdr:from>
    <xdr:to>
      <xdr:col>17</xdr:col>
      <xdr:colOff>9525</xdr:colOff>
      <xdr:row>38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483995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142875</xdr:colOff>
      <xdr:row>1</xdr:row>
      <xdr:rowOff>171450</xdr:rowOff>
    </xdr:from>
    <xdr:to>
      <xdr:col>17</xdr:col>
      <xdr:colOff>161925</xdr:colOff>
      <xdr:row>6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4191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D24" sqref="D24"/>
    </sheetView>
  </sheetViews>
  <sheetFormatPr defaultColWidth="9.140625" defaultRowHeight="12.75"/>
  <cols>
    <col min="1" max="1" width="16.57421875" style="1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1000</v>
      </c>
      <c r="C1" s="5">
        <f>IF(Brevet_Length&gt;=1200,Brevet_Length,IF(Brevet_Length&gt;=1000,1000,IF(Brevet_Length&gt;=600,600,IF(Brevet_Length&gt;=400,400,IF(Brevet_Length&gt;=300,300,IF(Brevet_Length&gt;=200,200,100))))))</f>
        <v>1000</v>
      </c>
    </row>
    <row r="2" spans="1:2" ht="12.75">
      <c r="A2" s="6" t="s">
        <v>1</v>
      </c>
      <c r="B2" s="7">
        <f>IF(brevet&gt;=1200,90,IF(brevet&gt;=1000,75,IF(brevet&gt;=600,40,IF(brevet&gt;=400,27,IF(brevet&gt;=300,20,IF(brevet&gt;=200,13.5,IF(brevet&gt;=100,7,0)))))))</f>
        <v>75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0.125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0.125</v>
      </c>
      <c r="J10" s="24">
        <f>I10+"1:00"</f>
        <v>0.16666666666666666</v>
      </c>
      <c r="K10" s="25">
        <f>IF(ISBLANK(Distance),"",Open Control_1)</f>
        <v>0.125</v>
      </c>
      <c r="L10" s="25">
        <f>IF(ISBLANK(Distance),"",Close Control_1)</f>
        <v>0.16666666666666666</v>
      </c>
    </row>
    <row r="11" spans="3:12" ht="12.75">
      <c r="C11" s="2" t="s">
        <v>23</v>
      </c>
      <c r="D11" s="20">
        <f>'VI1000A 050625'!F11</f>
        <v>111.79999999999998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3.2882352941176465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7.453333333333332</v>
      </c>
      <c r="K11" s="25">
        <f>IF(ISBLANK(Distance),"",Open_time Control_1+(INT(Open)&amp;":"&amp;IF(ROUND(((Open-INT(Open))*60),0)&lt;10,0,"")&amp;ROUND(((Open-INT(Open))*60),0)))</f>
        <v>0.26180555555555557</v>
      </c>
      <c r="L11" s="25">
        <f>IF(ISBLANK(Distance),"",Open_time Control_1+(INT(Close)&amp;":"&amp;IF(ROUND(((Close-INT(Close))*60),0)&lt;10,0,"")&amp;ROUND(((Close-INT(Close))*60),0)))</f>
        <v>0.4354166666666667</v>
      </c>
    </row>
    <row r="12" spans="3:12" ht="12.75">
      <c r="C12" s="2" t="s">
        <v>28</v>
      </c>
      <c r="D12" s="20">
        <f>'VI1000A 050625'!F22</f>
        <v>157.39999999999998</v>
      </c>
      <c r="E12" s="21" t="s">
        <v>29</v>
      </c>
      <c r="F12" s="22" t="s">
        <v>30</v>
      </c>
      <c r="G12" s="22" t="s">
        <v>31</v>
      </c>
      <c r="H12" s="23" t="s">
        <v>32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4.629411764705882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10.493333333333332</v>
      </c>
      <c r="K12" s="25">
        <f>IF(ISBLANK(Distance),"",Open_time Control_1+(INT(Open)&amp;":"&amp;IF(ROUND(((Open-INT(Open))*60),0)&lt;10,0,"")&amp;ROUND(((Open-INT(Open))*60),0)))</f>
        <v>0.31805555555555554</v>
      </c>
      <c r="L12" s="25">
        <f>IF(ISBLANK(Distance),"",Open_time Control_1+(INT(Close)&amp;":"&amp;IF(ROUND(((Close-INT(Close))*60),0)&lt;10,0,"")&amp;ROUND(((Close-INT(Close))*60),0)))</f>
        <v>0.5625</v>
      </c>
    </row>
    <row r="13" spans="3:12" ht="12.75">
      <c r="C13" s="2" t="s">
        <v>33</v>
      </c>
      <c r="D13" s="20">
        <f>'VI1000A 050625'!A35</f>
        <v>258.09999999999997</v>
      </c>
      <c r="E13" s="21" t="s">
        <v>34</v>
      </c>
      <c r="F13" s="22" t="s">
        <v>25</v>
      </c>
      <c r="G13" s="22" t="s">
        <v>31</v>
      </c>
      <c r="H13" s="23" t="s">
        <v>35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7.698024999999999</v>
      </c>
      <c r="J13" s="5">
        <f t="shared" si="0"/>
        <v>17.206666666666663</v>
      </c>
      <c r="K13" s="25">
        <f>IF(ISBLANK(Distance),"",Open_time Control_1+(INT(Open)&amp;":"&amp;IF(ROUND(((Open-INT(Open))*60),0)&lt;10,0,"")&amp;ROUND(((Open-INT(Open))*60),0)))</f>
        <v>0.44583333333333336</v>
      </c>
      <c r="L13" s="25">
        <f>IF(ISBLANK(Distance),"",Open_time Control_1+(INT(Close)&amp;":"&amp;IF(ROUND(((Close-INT(Close))*60),0)&lt;10,0,"")&amp;ROUND(((Close-INT(Close))*60),0)))</f>
        <v>0.8416666666666667</v>
      </c>
    </row>
    <row r="14" spans="3:12" ht="12.75">
      <c r="C14" s="2" t="s">
        <v>36</v>
      </c>
      <c r="D14" s="20">
        <f>'VI1000A 050625'!A43</f>
        <v>331.29999999999995</v>
      </c>
      <c r="E14" s="21" t="s">
        <v>37</v>
      </c>
      <c r="F14" s="22" t="s">
        <v>38</v>
      </c>
      <c r="G14" s="22" t="s">
        <v>39</v>
      </c>
      <c r="H14" s="23" t="s">
        <v>40</v>
      </c>
      <c r="I14" s="5">
        <f t="shared" si="1"/>
        <v>9.985524999999999</v>
      </c>
      <c r="J14" s="5">
        <f t="shared" si="0"/>
        <v>22.086666666666662</v>
      </c>
      <c r="K14" s="25">
        <f>IF(ISBLANK(Distance),"",Open_time Control_1+(INT(Open)&amp;":"&amp;IF(ROUND(((Open-INT(Open))*60),0)&lt;10,0,"")&amp;ROUND(((Open-INT(Open))*60),0)))</f>
        <v>0.5409722222222222</v>
      </c>
      <c r="L14" s="25">
        <f>IF(ISBLANK(Distance),"",Open_time Control_1+(INT(Close)&amp;":"&amp;IF(ROUND(((Close-INT(Close))*60),0)&lt;10,0,"")&amp;ROUND(((Close-INT(Close))*60),0)))</f>
        <v>1.0451388888888888</v>
      </c>
    </row>
    <row r="15" spans="3:12" ht="12.75">
      <c r="C15" s="2" t="s">
        <v>41</v>
      </c>
      <c r="D15" s="20">
        <f>'VI1000A 050625'!F29</f>
        <v>397.19999999999993</v>
      </c>
      <c r="E15" s="21" t="s">
        <v>42</v>
      </c>
      <c r="F15" s="22" t="s">
        <v>43</v>
      </c>
      <c r="G15" s="22"/>
      <c r="H15" s="23"/>
      <c r="I15" s="5">
        <f t="shared" si="1"/>
        <v>12.044899999999998</v>
      </c>
      <c r="J15" s="5">
        <f t="shared" si="0"/>
        <v>26.479999999999997</v>
      </c>
      <c r="K15" s="25">
        <f>IF(ISBLANK(Distance),"",Open_time Control_1+(INT(Open)&amp;":"&amp;IF(ROUND(((Open-INT(Open))*60),0)&lt;10,0,"")&amp;ROUND(((Open-INT(Open))*60),0)))</f>
        <v>0.6270833333333333</v>
      </c>
      <c r="L15" s="25">
        <f>IF(ISBLANK(Distance),"",Open_time Control_1+(INT(Close)&amp;":"&amp;IF(ROUND(((Close-INT(Close))*60),0)&lt;10,0,"")&amp;ROUND(((Close-INT(Close))*60),0)))</f>
        <v>1.2284722222222222</v>
      </c>
    </row>
    <row r="16" spans="3:12" ht="12.75">
      <c r="C16" s="2" t="s">
        <v>44</v>
      </c>
      <c r="D16" s="20">
        <f>'VI1000A 050625'!F38</f>
        <v>502.19999999999993</v>
      </c>
      <c r="E16" s="21" t="s">
        <v>45</v>
      </c>
      <c r="F16" s="22" t="s">
        <v>30</v>
      </c>
      <c r="G16" s="22" t="s">
        <v>46</v>
      </c>
      <c r="H16" s="23"/>
      <c r="I16" s="5">
        <f t="shared" si="1"/>
        <v>15.539066666666665</v>
      </c>
      <c r="J16" s="5">
        <f t="shared" si="0"/>
        <v>33.48</v>
      </c>
      <c r="K16" s="25">
        <f>IF(ISBLANK(Distance),"",Open_time Control_1+(INT(Open)&amp;":"&amp;IF(ROUND(((Open-INT(Open))*60),0)&lt;10,0,"")&amp;ROUND(((Open-INT(Open))*60),0)))</f>
        <v>0.7722222222222223</v>
      </c>
      <c r="L16" s="25">
        <f>IF(ISBLANK(Distance),"",Open_time Control_1+(INT(Close)&amp;":"&amp;IF(ROUND(((Close-INT(Close))*60),0)&lt;10,0,"")&amp;ROUND(((Close-INT(Close))*60),0)))</f>
        <v>1.520138888888889</v>
      </c>
    </row>
    <row r="17" spans="3:12" ht="12.75">
      <c r="C17" s="2" t="s">
        <v>47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48</v>
      </c>
      <c r="D18" s="20"/>
      <c r="E18" s="21" t="s">
        <v>49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50</v>
      </c>
      <c r="D19" s="20"/>
      <c r="E19" s="21" t="s">
        <v>49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51</v>
      </c>
      <c r="D20" s="20">
        <f>'VI1000A 050625'!A56</f>
        <v>607.1999999999999</v>
      </c>
      <c r="E20" s="21" t="s">
        <v>42</v>
      </c>
      <c r="F20" s="22" t="s">
        <v>43</v>
      </c>
      <c r="G20" s="22"/>
      <c r="H20" s="23"/>
      <c r="I20" s="5">
        <f t="shared" si="1"/>
        <v>19.056142857142856</v>
      </c>
      <c r="J20" s="5">
        <f t="shared" si="0"/>
        <v>40.629999999999995</v>
      </c>
      <c r="K20" s="25">
        <f>IF(ISBLANK(Distance),"",Open_time Control_1+(INT(Open)&amp;":"&amp;IF(ROUND(((Open-INT(Open))*60),0)&lt;10,0,"")&amp;ROUND(((Open-INT(Open))*60),0)))</f>
        <v>0.91875</v>
      </c>
      <c r="L20" s="25">
        <f>IF(ISBLANK(Distance),"",Open_time Control_1+(INT(Close)&amp;":"&amp;IF(ROUND(((Close-INT(Close))*60),0)&lt;10,0,"")&amp;ROUND(((Close-INT(Close))*60),0)))</f>
        <v>1.8180555555555555</v>
      </c>
    </row>
    <row r="21" spans="3:12" ht="12.75">
      <c r="C21" s="2" t="s">
        <v>52</v>
      </c>
      <c r="D21" s="20">
        <f>'VI1000A 050625'!A62</f>
        <v>673.0999999999999</v>
      </c>
      <c r="E21" s="21" t="s">
        <v>37</v>
      </c>
      <c r="F21" s="22" t="s">
        <v>38</v>
      </c>
      <c r="G21" s="22" t="s">
        <v>39</v>
      </c>
      <c r="H21" s="23" t="s">
        <v>40</v>
      </c>
      <c r="I21" s="5">
        <f t="shared" si="1"/>
        <v>21.409714285714283</v>
      </c>
      <c r="J21" s="5">
        <f t="shared" si="0"/>
        <v>46.396249999999995</v>
      </c>
      <c r="K21" s="25">
        <f>IF(ISBLANK(Distance),"",Open_time Control_1+(INT(Open)&amp;":"&amp;IF(ROUND(((Open-INT(Open))*60),0)&lt;10,0,"")&amp;ROUND(((Open-INT(Open))*60),0)))</f>
        <v>1.0173611111111112</v>
      </c>
      <c r="L21" s="25">
        <f>IF(ISBLANK(Distance),"",Open_time Control_1+(INT(Close)&amp;":"&amp;IF(ROUND(((Close-INT(Close))*60),0)&lt;10,0,"")&amp;ROUND(((Close-INT(Close))*60),0)))</f>
        <v>2.0583333333333336</v>
      </c>
    </row>
    <row r="22" spans="3:12" ht="12.75">
      <c r="C22" s="2" t="s">
        <v>53</v>
      </c>
      <c r="D22" s="20">
        <f>'VI1000A 050625'!A69</f>
        <v>746.1999999999999</v>
      </c>
      <c r="E22" s="21" t="s">
        <v>34</v>
      </c>
      <c r="F22" s="22" t="s">
        <v>25</v>
      </c>
      <c r="G22" s="22" t="s">
        <v>31</v>
      </c>
      <c r="H22" s="23" t="s">
        <v>35</v>
      </c>
      <c r="I22" s="5">
        <f t="shared" si="1"/>
        <v>24.020428571428567</v>
      </c>
      <c r="J22" s="5">
        <f t="shared" si="0"/>
        <v>52.79249999999999</v>
      </c>
      <c r="K22" s="25">
        <f>IF(ISBLANK(Distance),"",Open_time Control_1+(INT(Open)&amp;":"&amp;IF(ROUND(((Open-INT(Open))*60),0)&lt;10,0,"")&amp;ROUND(((Open-INT(Open))*60),0)))</f>
        <v>1.1256944444444446</v>
      </c>
      <c r="L22" s="25">
        <f>IF(ISBLANK(Distance),"",Open_time Control_1+(INT(Close)&amp;":"&amp;IF(ROUND(((Close-INT(Close))*60),0)&lt;10,0,"")&amp;ROUND(((Close-INT(Close))*60),0)))</f>
        <v>2.325</v>
      </c>
    </row>
    <row r="23" spans="3:12" ht="12.75">
      <c r="C23" s="2" t="s">
        <v>54</v>
      </c>
      <c r="D23" s="20">
        <f>'VI1000A 050625'!F58</f>
        <v>846.8999999999999</v>
      </c>
      <c r="E23" s="21" t="s">
        <v>29</v>
      </c>
      <c r="F23" s="22" t="s">
        <v>30</v>
      </c>
      <c r="G23" s="22" t="s">
        <v>31</v>
      </c>
      <c r="H23" s="23" t="s">
        <v>32</v>
      </c>
      <c r="I23" s="5">
        <f t="shared" si="1"/>
        <v>27.616857142857135</v>
      </c>
      <c r="J23" s="5">
        <f t="shared" si="0"/>
        <v>61.60374999999999</v>
      </c>
      <c r="K23" s="25">
        <f>IF(ISBLANK(Distance),"",Open_time Control_1+(INT(Open)&amp;":"&amp;IF(ROUND(((Open-INT(Open))*60),0)&lt;10,0,"")&amp;ROUND(((Open-INT(Open))*60),0)))</f>
        <v>1.2756944444444445</v>
      </c>
      <c r="L23" s="25">
        <f>IF(ISBLANK(Distance),"",Open_time Control_1+(INT(Close)&amp;":"&amp;IF(ROUND(((Close-INT(Close))*60),0)&lt;10,0,"")&amp;ROUND(((Close-INT(Close))*60),0)))</f>
        <v>2.691666666666667</v>
      </c>
    </row>
    <row r="24" spans="3:12" ht="12.75">
      <c r="C24" s="2" t="s">
        <v>55</v>
      </c>
      <c r="D24" s="20">
        <f>'VI1000A 050625'!F68</f>
        <v>893.1999999999998</v>
      </c>
      <c r="E24" s="21" t="s">
        <v>24</v>
      </c>
      <c r="F24" s="22" t="s">
        <v>25</v>
      </c>
      <c r="G24" s="22" t="s">
        <v>26</v>
      </c>
      <c r="H24" s="23" t="s">
        <v>27</v>
      </c>
      <c r="I24" s="5">
        <f t="shared" si="1"/>
        <v>29.270428571428564</v>
      </c>
      <c r="J24" s="5">
        <f t="shared" si="0"/>
        <v>65.65499999999999</v>
      </c>
      <c r="K24" s="25">
        <f>IF(ISBLANK(Distance),"",Open_time Control_1+(INT(Open)&amp;":"&amp;IF(ROUND(((Open-INT(Open))*60),0)&lt;10,0,"")&amp;ROUND(((Open-INT(Open))*60),0)))</f>
        <v>1.3444444444444446</v>
      </c>
      <c r="L24" s="25">
        <f>IF(ISBLANK(Distance),"",Open_time Control_1+(INT(Close)&amp;":"&amp;IF(ROUND(((Close-INT(Close))*60),0)&lt;10,0,"")&amp;ROUND(((Close-INT(Close))*60),0)))</f>
        <v>2.8604166666666666</v>
      </c>
    </row>
    <row r="25" spans="3:12" ht="12.75">
      <c r="C25" s="2" t="s">
        <v>56</v>
      </c>
      <c r="D25" s="20">
        <f>'VI1000A 050625'!F82</f>
        <v>1004.5</v>
      </c>
      <c r="E25" s="21" t="s">
        <v>19</v>
      </c>
      <c r="F25" s="22" t="s">
        <v>20</v>
      </c>
      <c r="G25" s="22" t="s">
        <v>21</v>
      </c>
      <c r="H25" s="23" t="s">
        <v>22</v>
      </c>
      <c r="I25" s="5">
        <f t="shared" si="1"/>
        <v>33.25777692307692</v>
      </c>
      <c r="J25" s="5">
        <f t="shared" si="0"/>
        <v>75</v>
      </c>
      <c r="K25" s="25">
        <f>IF(ISBLANK(Distance),"",Open_time Control_1+(INT(Open)&amp;":"&amp;IF(ROUND(((Open-INT(Open))*60),0)&lt;10,0,"")&amp;ROUND(((Open-INT(Open))*60),0)))</f>
        <v>1.5104166666666667</v>
      </c>
      <c r="L25" s="25">
        <f>IF(ISBLANK(Distance),"",Open_time Control_1+(INT(Close)&amp;":"&amp;IF(ROUND(((Close-INT(Close))*60),0)&lt;10,0,"")&amp;ROUND(((Close-INT(Close))*60),0)))</f>
        <v>3.25</v>
      </c>
    </row>
    <row r="26" spans="3:12" ht="12.75">
      <c r="C26" s="2" t="s">
        <v>57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58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59</v>
      </c>
      <c r="D28" s="20"/>
      <c r="E28" s="21" t="s">
        <v>49</v>
      </c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60</v>
      </c>
      <c r="D29" s="26"/>
      <c r="E29" s="27" t="s">
        <v>49</v>
      </c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heet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showGridLines="0" workbookViewId="0" topLeftCell="A43">
      <selection activeCell="F43" sqref="F43"/>
    </sheetView>
  </sheetViews>
  <sheetFormatPr defaultColWidth="9.140625" defaultRowHeight="12.75"/>
  <cols>
    <col min="1" max="1" width="9.28125" style="30" customWidth="1"/>
    <col min="2" max="2" width="12.28125" style="0" customWidth="1"/>
    <col min="3" max="3" width="12.42187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  <col min="8" max="8" width="7.00390625" style="31" customWidth="1"/>
    <col min="9" max="9" width="8.7109375" style="0" customWidth="1"/>
    <col min="19" max="19" width="10.8515625" style="0" customWidth="1"/>
  </cols>
  <sheetData>
    <row r="1" spans="1:8" ht="19.5">
      <c r="A1" s="32" t="s">
        <v>61</v>
      </c>
      <c r="B1" s="32"/>
      <c r="C1" s="32"/>
      <c r="D1" s="32"/>
      <c r="E1" s="32"/>
      <c r="F1" s="32"/>
      <c r="G1" s="32"/>
      <c r="H1" s="11" t="s">
        <v>62</v>
      </c>
    </row>
    <row r="2" spans="1:14" ht="33.75" customHeight="1">
      <c r="A2" s="33" t="s">
        <v>63</v>
      </c>
      <c r="B2" s="34" t="s">
        <v>14</v>
      </c>
      <c r="C2" s="34" t="s">
        <v>15</v>
      </c>
      <c r="D2" s="34" t="s">
        <v>10</v>
      </c>
      <c r="E2" s="34" t="s">
        <v>64</v>
      </c>
      <c r="F2" s="34" t="s">
        <v>65</v>
      </c>
      <c r="G2" s="33" t="s">
        <v>66</v>
      </c>
      <c r="H2" s="11" t="s">
        <v>62</v>
      </c>
      <c r="N2" s="35"/>
    </row>
    <row r="3" spans="1:14" ht="36" customHeight="1">
      <c r="A3" s="36"/>
      <c r="B3" s="37">
        <f>Control_1 Open_time</f>
        <v>0.125</v>
      </c>
      <c r="C3" s="37">
        <f>Control_1 Close_time</f>
        <v>0.16666666666666666</v>
      </c>
      <c r="D3" s="38"/>
      <c r="E3" s="39">
        <f>IF(ISBLANK(Control_1 Establishment_1),"",Control_1 Establishment_1)</f>
        <v>0</v>
      </c>
      <c r="F3" s="40"/>
      <c r="G3" s="41"/>
      <c r="H3" s="11" t="s">
        <v>62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0.125</v>
      </c>
      <c r="C4" s="44">
        <f>Control_1 Close_time</f>
        <v>0.16666666666666666</v>
      </c>
      <c r="D4" s="45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62</v>
      </c>
      <c r="K4" s="42"/>
      <c r="N4" s="35"/>
    </row>
    <row r="5" spans="1:11" ht="36" customHeight="1">
      <c r="A5" s="46"/>
      <c r="B5" s="47">
        <f>Control_1 Open_time</f>
        <v>0.125</v>
      </c>
      <c r="C5" s="47">
        <f>Control_1 Close_time</f>
        <v>0.16666666666666666</v>
      </c>
      <c r="D5" s="48"/>
      <c r="E5" s="49">
        <f>IF(ISBLANK(Control_1 Establishment_3),"",Control_1 Establishment_3)</f>
        <v>0</v>
      </c>
      <c r="F5" s="50"/>
      <c r="G5" s="51"/>
      <c r="H5" s="11" t="s">
        <v>62</v>
      </c>
      <c r="K5" s="42"/>
    </row>
    <row r="6" spans="1:11" ht="36" customHeight="1">
      <c r="A6" s="36"/>
      <c r="B6" s="37">
        <f>Control_2 Open_time</f>
        <v>0.26180555555555557</v>
      </c>
      <c r="C6" s="37">
        <f>Control_2 Close_time</f>
        <v>0.4354166666666667</v>
      </c>
      <c r="D6" s="52"/>
      <c r="E6" s="39">
        <f>IF(ISBLANK(Control_2 Establishment_1),"",Control_2 Establishment_1)</f>
        <v>0</v>
      </c>
      <c r="F6" s="40"/>
      <c r="G6" s="41"/>
      <c r="H6" s="11" t="s">
        <v>62</v>
      </c>
      <c r="K6" s="42"/>
    </row>
    <row r="7" spans="1:11" ht="36" customHeight="1">
      <c r="A7" s="43">
        <f>IF(ISBLANK(Distance Control_2),"",Control_2 Distance)</f>
        <v>111.79999999999998</v>
      </c>
      <c r="B7" s="44">
        <f>Control_2 Open_time</f>
        <v>0.26180555555555557</v>
      </c>
      <c r="C7" s="44">
        <f>Control_2 Close_time</f>
        <v>0.4354166666666667</v>
      </c>
      <c r="D7" s="45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62</v>
      </c>
      <c r="K7" s="42"/>
    </row>
    <row r="8" spans="1:20" ht="36" customHeight="1">
      <c r="A8" s="46"/>
      <c r="B8" s="47">
        <f>Control_2 Open_time</f>
        <v>0.26180555555555557</v>
      </c>
      <c r="C8" s="47">
        <f>Control_2 Close_time</f>
        <v>0.4354166666666667</v>
      </c>
      <c r="D8" s="48"/>
      <c r="E8" s="49">
        <f>IF(ISBLANK(Control_2 Establishment_3),"",Control_2 Establishment_3)</f>
        <v>0</v>
      </c>
      <c r="F8" s="50"/>
      <c r="G8" s="51"/>
      <c r="H8" s="11" t="s">
        <v>62</v>
      </c>
      <c r="J8" s="53" t="s">
        <v>67</v>
      </c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19" ht="36" customHeight="1">
      <c r="A9" s="36"/>
      <c r="B9" s="37">
        <f>Control_3 Open_time</f>
        <v>0.31805555555555554</v>
      </c>
      <c r="C9" s="37">
        <f>Control_3 Close_time</f>
        <v>0.5625</v>
      </c>
      <c r="D9" s="52"/>
      <c r="E9" s="39">
        <f>IF(ISBLANK(Control_3 Establishment_1),"",Control_3 Establishment_1)</f>
        <v>0</v>
      </c>
      <c r="F9" s="40"/>
      <c r="G9" s="41"/>
      <c r="H9" s="11" t="s">
        <v>62</v>
      </c>
      <c r="J9" s="54">
        <f>IF(ISBLANK(brevet),"",brevet&amp;" km Randonnée")</f>
        <v>0</v>
      </c>
      <c r="K9" s="54"/>
      <c r="L9" s="54"/>
      <c r="M9" s="54"/>
      <c r="N9" s="54"/>
      <c r="O9" s="54"/>
      <c r="P9" s="54"/>
      <c r="Q9" s="54"/>
      <c r="R9" s="54"/>
      <c r="S9" s="54"/>
    </row>
    <row r="10" spans="1:20" ht="36" customHeight="1">
      <c r="A10" s="43">
        <f>IF(ISBLANK(Distance Control_3),"",Control_3 Distance)</f>
        <v>157.39999999999998</v>
      </c>
      <c r="B10" s="44">
        <f>Control_3 Open_time</f>
        <v>0.31805555555555554</v>
      </c>
      <c r="C10" s="44">
        <f>Control_3 Close_time</f>
        <v>0.5625</v>
      </c>
      <c r="D10" s="45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62</v>
      </c>
      <c r="J10" s="55">
        <f>IF(ISBLANK(Brevet_Description),"",Brevet_Description)</f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36" customHeight="1">
      <c r="A11" s="46"/>
      <c r="B11" s="47">
        <f>Control_3 Open_time</f>
        <v>0.31805555555555554</v>
      </c>
      <c r="C11" s="47">
        <f>Control_3 Close_time</f>
        <v>0.5625</v>
      </c>
      <c r="D11" s="48"/>
      <c r="E11" s="49">
        <f>IF(ISBLANK(Control_3 Establishment_3),"",Control_3 Establishment_3)</f>
        <v>0</v>
      </c>
      <c r="F11" s="50"/>
      <c r="G11" s="51"/>
      <c r="H11" s="11" t="s">
        <v>62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6" customHeight="1">
      <c r="A12" s="36"/>
      <c r="B12" s="37">
        <f>Control_4 Open_time</f>
        <v>0.44583333333333336</v>
      </c>
      <c r="C12" s="37">
        <f>Control_4 Close_time</f>
        <v>0.8416666666666667</v>
      </c>
      <c r="D12" s="52"/>
      <c r="E12" s="39">
        <f>IF(ISBLANK(Control_4 Establishment_1),"",Control_4 Establishment_1)</f>
        <v>0</v>
      </c>
      <c r="F12" s="40"/>
      <c r="G12" s="41"/>
      <c r="H12" s="11" t="s">
        <v>62</v>
      </c>
      <c r="J12" s="57" t="s">
        <v>68</v>
      </c>
      <c r="L12" s="58" t="str">
        <f>IF(ISBLANK(Surname),"",First_Name&amp;" "&amp;Initial&amp;" "&amp;Surname)</f>
        <v>  </v>
      </c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3">
        <f>IF(ISBLANK(Distance Control_4),"",Control_4 Distance)</f>
        <v>258.09999999999997</v>
      </c>
      <c r="B13" s="44">
        <f>Control_4 Open_time</f>
        <v>0.44583333333333336</v>
      </c>
      <c r="C13" s="44">
        <f>Control_4 Close_time</f>
        <v>0.8416666666666667</v>
      </c>
      <c r="D13" s="45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62</v>
      </c>
      <c r="J13" s="57" t="s">
        <v>69</v>
      </c>
      <c r="K13" s="57"/>
      <c r="L13" s="61">
        <f>IF(ISBLANK(Address_1),"",Address_1)</f>
      </c>
      <c r="M13" s="62"/>
      <c r="N13" s="62"/>
      <c r="O13" s="62"/>
      <c r="P13" s="62"/>
      <c r="Q13" s="62"/>
      <c r="R13" s="62"/>
      <c r="S13" s="62"/>
      <c r="T13" s="63"/>
    </row>
    <row r="14" spans="1:20" ht="36" customHeight="1">
      <c r="A14" s="46"/>
      <c r="B14" s="47">
        <f>Control_4 Open_time</f>
        <v>0.44583333333333336</v>
      </c>
      <c r="C14" s="47">
        <f>Control_4 Close_time</f>
        <v>0.8416666666666667</v>
      </c>
      <c r="D14" s="48"/>
      <c r="E14" s="49">
        <f>IF(ISBLANK(Control_4 Establishment_3),"",Control_4 Establishment_3)</f>
        <v>0</v>
      </c>
      <c r="F14" s="50"/>
      <c r="G14" s="51"/>
      <c r="H14" s="11" t="s">
        <v>62</v>
      </c>
      <c r="J14" s="57"/>
      <c r="K14" s="57"/>
      <c r="L14" s="61">
        <f>IF(ISBLANK(Address_2),"",Address_2)</f>
      </c>
      <c r="M14" s="62"/>
      <c r="N14" s="62"/>
      <c r="O14" s="62"/>
      <c r="P14" s="62"/>
      <c r="Q14" s="62"/>
      <c r="R14" s="62"/>
      <c r="S14" s="62"/>
      <c r="T14" s="63"/>
    </row>
    <row r="15" spans="1:20" ht="36" customHeight="1">
      <c r="A15" s="36"/>
      <c r="B15" s="37">
        <f>Control_5 Open_time</f>
        <v>0.5409722222222222</v>
      </c>
      <c r="C15" s="37">
        <f>Control_5 Close_time</f>
        <v>1.0451388888888888</v>
      </c>
      <c r="D15" s="52"/>
      <c r="E15" s="39">
        <f>IF(ISBLANK(Control_5 Establishment_1),"",Control_5 Establishment_1)</f>
        <v>0</v>
      </c>
      <c r="F15" s="40"/>
      <c r="G15" s="41"/>
      <c r="H15" s="11" t="s">
        <v>62</v>
      </c>
      <c r="J15" s="57" t="s">
        <v>70</v>
      </c>
      <c r="K15" s="57"/>
      <c r="L15" s="61">
        <f>IF(ISBLANK(City),"",City)</f>
      </c>
      <c r="M15" s="62"/>
      <c r="N15" s="62"/>
      <c r="O15" s="64"/>
      <c r="P15" s="64" t="s">
        <v>71</v>
      </c>
      <c r="Q15" s="64"/>
      <c r="R15" s="64"/>
      <c r="S15" s="61">
        <f>IF(ISBLANK(Province_State),"",Province_State)</f>
      </c>
      <c r="T15" s="63"/>
    </row>
    <row r="16" spans="1:20" ht="36" customHeight="1">
      <c r="A16" s="43">
        <f>IF(ISBLANK(Distance Control_5),"",Control_5 Distance)</f>
        <v>331.29999999999995</v>
      </c>
      <c r="B16" s="44">
        <f>Control_5 Open_time</f>
        <v>0.5409722222222222</v>
      </c>
      <c r="C16" s="44">
        <f>Control_5 Close_time</f>
        <v>1.0451388888888888</v>
      </c>
      <c r="D16" s="45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62</v>
      </c>
      <c r="J16" s="57" t="s">
        <v>72</v>
      </c>
      <c r="K16" s="57"/>
      <c r="L16" s="61">
        <f>IF(ISBLANK(Country),"",Country)</f>
      </c>
      <c r="M16" s="62"/>
      <c r="N16" s="62"/>
      <c r="O16" s="64"/>
      <c r="P16" s="64" t="s">
        <v>73</v>
      </c>
      <c r="Q16" s="64"/>
      <c r="R16" s="64"/>
      <c r="S16" s="65">
        <f>IF(ISBLANK(Postal_Code),"",Postal_Code)</f>
      </c>
      <c r="T16" s="63"/>
    </row>
    <row r="17" spans="1:19" ht="36" customHeight="1">
      <c r="A17" s="46"/>
      <c r="B17" s="47">
        <f>Control_5 Open_time</f>
        <v>0.5409722222222222</v>
      </c>
      <c r="C17" s="47">
        <f>Control_5 Close_time</f>
        <v>1.0451388888888888</v>
      </c>
      <c r="D17" s="48"/>
      <c r="E17" s="49">
        <f>IF(ISBLANK(Control_5 Establishment_3),"",Control_5 Establishment_3)</f>
        <v>0</v>
      </c>
      <c r="F17" s="50"/>
      <c r="G17" s="51"/>
      <c r="H17" s="11" t="s">
        <v>62</v>
      </c>
      <c r="L17" s="66"/>
      <c r="M17" s="66"/>
      <c r="N17" s="66"/>
      <c r="O17" s="66"/>
      <c r="P17" s="66"/>
      <c r="Q17" s="66"/>
      <c r="R17" s="66"/>
      <c r="S17" s="66"/>
    </row>
    <row r="18" spans="1:20" ht="36" customHeight="1">
      <c r="A18" s="36"/>
      <c r="B18" s="37">
        <f>Control_6 Open_time</f>
        <v>0.6270833333333333</v>
      </c>
      <c r="C18" s="37">
        <f>Control_6 Close_time</f>
        <v>1.2284722222222222</v>
      </c>
      <c r="D18" s="52"/>
      <c r="E18" s="39">
        <f>IF(ISBLANK(Control_6 Establishment_1),"",Control_6 Establishment_1)</f>
        <v>0</v>
      </c>
      <c r="F18" s="40"/>
      <c r="G18" s="41"/>
      <c r="H18" s="11" t="s">
        <v>62</v>
      </c>
      <c r="J18" s="57" t="s">
        <v>74</v>
      </c>
      <c r="L18" s="67">
        <f>IF(ISBLANK(Home_telephone),"",Home_telephone)</f>
      </c>
      <c r="M18" s="67"/>
      <c r="N18" s="67"/>
      <c r="O18" s="66"/>
      <c r="P18" s="64" t="s">
        <v>75</v>
      </c>
      <c r="Q18" s="65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  <v>397.19999999999993</v>
      </c>
      <c r="B19" s="44">
        <f>Control_6 Open_time</f>
        <v>0.6270833333333333</v>
      </c>
      <c r="C19" s="44">
        <f>Control_6 Close_time</f>
        <v>1.2284722222222222</v>
      </c>
      <c r="D19" s="45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62</v>
      </c>
      <c r="L19" s="66"/>
      <c r="M19" s="66"/>
      <c r="N19" s="66"/>
      <c r="O19" s="66"/>
      <c r="P19" s="66"/>
      <c r="Q19" s="66"/>
      <c r="R19" s="66"/>
      <c r="S19" s="66"/>
    </row>
    <row r="20" spans="1:20" ht="36" customHeight="1">
      <c r="A20" s="46"/>
      <c r="B20" s="47">
        <f>Control_6 Open_time</f>
        <v>0.6270833333333333</v>
      </c>
      <c r="C20" s="47">
        <f>Control_6 Close_time</f>
        <v>1.2284722222222222</v>
      </c>
      <c r="D20" s="48"/>
      <c r="E20" s="49">
        <f>IF(ISBLANK(Control_6 Establishment_3),"",Control_6 Establishment_3)</f>
        <v>0</v>
      </c>
      <c r="F20" s="50"/>
      <c r="G20" s="51"/>
      <c r="H20" s="11" t="s">
        <v>62</v>
      </c>
      <c r="J20" s="70" t="s">
        <v>76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  <v>0.7722222222222223</v>
      </c>
      <c r="C21" s="37">
        <f>Control_7 Close_time</f>
        <v>1.520138888888889</v>
      </c>
      <c r="D21" s="52"/>
      <c r="E21" s="39">
        <f>IF(ISBLANK(Control_7 Establishment_1),"",Control_7 Establishment_1)</f>
        <v>0</v>
      </c>
      <c r="F21" s="40"/>
      <c r="G21" s="41"/>
      <c r="H21" s="11" t="s">
        <v>62</v>
      </c>
      <c r="J21" s="70" t="s">
        <v>77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  <v>502.19999999999993</v>
      </c>
      <c r="B22" s="44">
        <f>Control_7 Open_time</f>
        <v>0.7722222222222223</v>
      </c>
      <c r="C22" s="44">
        <f>Control_7 Close_time</f>
        <v>1.520138888888889</v>
      </c>
      <c r="D22" s="45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62</v>
      </c>
      <c r="L22" s="66"/>
      <c r="M22" s="66"/>
      <c r="N22" s="66"/>
      <c r="O22" s="66"/>
      <c r="P22" s="66"/>
      <c r="Q22" s="66"/>
      <c r="R22" s="66"/>
      <c r="S22" s="66"/>
    </row>
    <row r="23" spans="1:20" ht="36" customHeight="1">
      <c r="A23" s="46"/>
      <c r="B23" s="47">
        <f>Control_7 Open_time</f>
        <v>0.7722222222222223</v>
      </c>
      <c r="C23" s="47">
        <f>Control_7 Close_time</f>
        <v>1.520138888888889</v>
      </c>
      <c r="D23" s="48"/>
      <c r="E23" s="49">
        <f>IF(ISBLANK(Control_7 Establishment_3),"",Control_7 Establishment_3)</f>
        <v>0</v>
      </c>
      <c r="F23" s="50"/>
      <c r="G23" s="51"/>
      <c r="H23" s="11" t="s">
        <v>62</v>
      </c>
      <c r="J23" s="71" t="s">
        <v>78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2"/>
      <c r="E24" s="39">
        <f>IF(ISBLANK(Control_8 Establishment_1),"",Control_8 Establishment_1)</f>
        <v>0</v>
      </c>
      <c r="F24" s="40"/>
      <c r="G24" s="41"/>
      <c r="H24" s="11" t="s">
        <v>62</v>
      </c>
      <c r="J24" s="57" t="s">
        <v>79</v>
      </c>
      <c r="K24" s="72">
        <f>IF(ISBLANK(Start_date),"",Start_date)</f>
      </c>
      <c r="L24" s="72"/>
      <c r="M24" s="72"/>
      <c r="N24" s="66"/>
      <c r="O24" s="64" t="s">
        <v>80</v>
      </c>
      <c r="P24" s="66"/>
      <c r="Q24" s="68"/>
      <c r="R24" s="68"/>
      <c r="S24" s="68"/>
      <c r="T24" s="73"/>
    </row>
    <row r="25" spans="1:20" ht="36" customHeight="1">
      <c r="A25" s="74">
        <f>IF(ISBLANK(Distance Control_8),"",Control_8 Distance)</f>
      </c>
      <c r="B25" s="75">
        <f>Control_8 Open_time</f>
        <v>0</v>
      </c>
      <c r="C25" s="75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62</v>
      </c>
      <c r="L25" s="66"/>
      <c r="M25" s="66"/>
      <c r="N25" s="66"/>
      <c r="O25" s="64" t="s">
        <v>81</v>
      </c>
      <c r="P25" s="66"/>
      <c r="Q25" s="68"/>
      <c r="R25" s="68"/>
      <c r="S25" s="68"/>
      <c r="T25" s="73"/>
    </row>
    <row r="26" spans="1:20" ht="36" customHeight="1">
      <c r="A26" s="46"/>
      <c r="B26" s="47">
        <f>Control_8 Open_time</f>
        <v>0</v>
      </c>
      <c r="C26" s="47">
        <f>Control_8 Close_time</f>
        <v>0</v>
      </c>
      <c r="D26" s="48"/>
      <c r="E26" s="49">
        <f>IF(ISBLANK(Control_8 Establishment_3),"",Control_8 Establishment_3)</f>
        <v>0</v>
      </c>
      <c r="F26" s="50"/>
      <c r="G26" s="51"/>
      <c r="H26" s="11" t="s">
        <v>62</v>
      </c>
      <c r="J26" s="73"/>
      <c r="K26" s="73"/>
      <c r="L26" s="68"/>
      <c r="M26" s="68"/>
      <c r="N26" s="66"/>
      <c r="O26" s="64" t="s">
        <v>82</v>
      </c>
      <c r="P26" s="66"/>
      <c r="Q26" s="68"/>
      <c r="R26" s="68"/>
      <c r="S26" s="68"/>
      <c r="T26" s="73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2"/>
      <c r="E27" s="39">
        <f>IF(ISBLANK(Control_9 Establishment_1),"",Control_9 Establishment_1)</f>
        <v>0</v>
      </c>
      <c r="F27" s="40"/>
      <c r="G27" s="41"/>
      <c r="H27" s="11" t="s">
        <v>62</v>
      </c>
      <c r="J27" s="76" t="s">
        <v>83</v>
      </c>
      <c r="K27" s="76"/>
      <c r="L27" s="76"/>
      <c r="M27" s="76"/>
      <c r="N27" s="66"/>
      <c r="O27" s="66"/>
      <c r="P27" s="66"/>
      <c r="Q27" s="66"/>
      <c r="R27" s="66"/>
      <c r="S27" s="66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45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62</v>
      </c>
      <c r="L28" s="77" t="s">
        <v>84</v>
      </c>
      <c r="M28" s="77"/>
      <c r="N28" s="77"/>
      <c r="O28" s="77"/>
      <c r="P28" s="77"/>
      <c r="Q28" s="77"/>
      <c r="R28" s="66"/>
      <c r="S28" s="66"/>
    </row>
    <row r="29" spans="1:19" ht="36" customHeight="1">
      <c r="A29" s="46"/>
      <c r="B29" s="47">
        <f>Control_9 Open_time</f>
        <v>0</v>
      </c>
      <c r="C29" s="47">
        <f>Control_9 Close_time</f>
        <v>0</v>
      </c>
      <c r="D29" s="48"/>
      <c r="E29" s="49">
        <f>IF(ISBLANK(Control_9 Establishment_3),"",Control_9 Establishment_3)</f>
        <v>0</v>
      </c>
      <c r="F29" s="50"/>
      <c r="G29" s="51"/>
      <c r="H29" s="11" t="s">
        <v>62</v>
      </c>
      <c r="K29" s="78"/>
      <c r="L29" s="79"/>
      <c r="M29" s="79"/>
      <c r="N29" s="80"/>
      <c r="O29" s="81"/>
      <c r="P29" s="79"/>
      <c r="Q29" s="79"/>
      <c r="R29" s="80"/>
      <c r="S29" s="82" t="s">
        <v>85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2"/>
      <c r="E30" s="39">
        <f>IF(ISBLANK(Control_10 Establishment_1),"",Control_10 Establishment_1)</f>
        <v>0</v>
      </c>
      <c r="F30" s="40"/>
      <c r="G30" s="41"/>
      <c r="H30" s="11" t="s">
        <v>62</v>
      </c>
      <c r="K30" s="83"/>
      <c r="L30" s="84"/>
      <c r="M30" s="84"/>
      <c r="N30" s="85"/>
      <c r="O30" s="86"/>
      <c r="P30" s="84"/>
      <c r="Q30" s="84"/>
      <c r="R30" s="85"/>
      <c r="S30" s="87" t="s">
        <v>86</v>
      </c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45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62</v>
      </c>
      <c r="K31" s="88"/>
      <c r="L31" s="68"/>
      <c r="M31" s="68"/>
      <c r="N31" s="89"/>
      <c r="O31" s="90"/>
      <c r="P31" s="68"/>
      <c r="Q31" s="68"/>
      <c r="R31" s="89"/>
      <c r="S31" s="66"/>
      <c r="U31" s="91"/>
    </row>
    <row r="32" spans="1:21" ht="36" customHeight="1">
      <c r="A32" s="46"/>
      <c r="B32" s="47">
        <f>Control_10 Open_time</f>
        <v>0</v>
      </c>
      <c r="C32" s="47">
        <f>Control_10 Close_time</f>
        <v>0</v>
      </c>
      <c r="D32" s="48"/>
      <c r="E32" s="49">
        <f>IF(ISBLANK(Control_10 Establishment_3),"",Control_10 Establishment_3)</f>
        <v>0</v>
      </c>
      <c r="F32" s="50"/>
      <c r="G32" s="51"/>
      <c r="H32" s="11" t="s">
        <v>62</v>
      </c>
      <c r="L32" s="64" t="s">
        <v>87</v>
      </c>
      <c r="M32" s="66"/>
      <c r="N32" s="62" t="str">
        <f>IF(ISBLANK(Brevet_Number),"",Brevet_Number)</f>
        <v>VI1000A</v>
      </c>
      <c r="O32" s="62"/>
      <c r="P32" s="62"/>
      <c r="Q32" s="66"/>
      <c r="R32" s="66"/>
      <c r="S32" s="66"/>
      <c r="U32" s="91"/>
    </row>
    <row r="33" spans="1:21" ht="28.5" customHeight="1">
      <c r="A33" s="92"/>
      <c r="B33" s="93"/>
      <c r="C33" s="93"/>
      <c r="D33" s="94"/>
      <c r="E33" s="95"/>
      <c r="F33" s="96"/>
      <c r="G33" s="96"/>
      <c r="H33" s="11"/>
      <c r="L33" s="64"/>
      <c r="M33" s="66"/>
      <c r="N33" s="97"/>
      <c r="O33" s="97"/>
      <c r="P33" s="97"/>
      <c r="Q33" s="66"/>
      <c r="R33" s="66"/>
      <c r="S33" s="66"/>
      <c r="U33" s="91"/>
    </row>
    <row r="34" ht="6.75" customHeight="1">
      <c r="A34"/>
    </row>
    <row r="35" spans="1:8" ht="36" customHeight="1">
      <c r="A35" s="98"/>
      <c r="B35" s="99">
        <f>Control_11 Open_time</f>
        <v>0.91875</v>
      </c>
      <c r="C35" s="99">
        <f>Control_11 Close_time</f>
        <v>1.8180555555555555</v>
      </c>
      <c r="D35" s="100"/>
      <c r="E35" s="101">
        <f>IF(ISBLANK(Control_11 Establishment_1),"",Control_11 Establishment_1)</f>
        <v>0</v>
      </c>
      <c r="F35" s="102"/>
      <c r="G35" s="103"/>
      <c r="H35" s="11" t="s">
        <v>62</v>
      </c>
    </row>
    <row r="36" spans="1:14" ht="36" customHeight="1">
      <c r="A36" s="43">
        <f>IF(ISBLANK(Distance Control_11),"",Control_11 Distance)</f>
        <v>607.1999999999999</v>
      </c>
      <c r="B36" s="44">
        <f>Control_11 Open_time</f>
        <v>0.91875</v>
      </c>
      <c r="C36" s="44">
        <f>Control_11 Close_time</f>
        <v>1.8180555555555555</v>
      </c>
      <c r="D36" s="45">
        <f>IF(ISBLANK(Locale Control_11),"",Locale Control_11)</f>
        <v>0</v>
      </c>
      <c r="E36" s="39">
        <f>IF(ISBLANK(Control_11 Establishment_2),"",Control_11 Establishment_2)</f>
        <v>0</v>
      </c>
      <c r="F36" s="40"/>
      <c r="G36" s="41"/>
      <c r="H36" s="11" t="s">
        <v>62</v>
      </c>
      <c r="K36" s="42"/>
      <c r="N36" s="35"/>
    </row>
    <row r="37" spans="1:11" ht="36" customHeight="1">
      <c r="A37" s="46"/>
      <c r="B37" s="47">
        <f>Control_11 Open_time</f>
        <v>0.91875</v>
      </c>
      <c r="C37" s="47">
        <f>Control_11 Close_time</f>
        <v>1.8180555555555555</v>
      </c>
      <c r="D37" s="48"/>
      <c r="E37" s="49">
        <f>IF(ISBLANK(Control_11 Establishment_3),"",Control_11 Establishment_3)</f>
        <v>0</v>
      </c>
      <c r="F37" s="50"/>
      <c r="G37" s="51"/>
      <c r="H37" s="11" t="s">
        <v>62</v>
      </c>
      <c r="K37" s="42"/>
    </row>
    <row r="38" spans="1:11" ht="36" customHeight="1">
      <c r="A38" s="36"/>
      <c r="B38" s="37">
        <f>Control_12 Open_time</f>
        <v>1.0173611111111112</v>
      </c>
      <c r="C38" s="37">
        <f>Control_12 Close_time</f>
        <v>2.0583333333333336</v>
      </c>
      <c r="D38" s="38"/>
      <c r="E38" s="39">
        <f>IF(ISBLANK(Control_12 Establishment_1),"",Control_12 Establishment_1)</f>
        <v>0</v>
      </c>
      <c r="F38" s="40"/>
      <c r="G38" s="41"/>
      <c r="H38" s="11" t="s">
        <v>62</v>
      </c>
      <c r="K38" s="42"/>
    </row>
    <row r="39" spans="1:11" ht="36" customHeight="1">
      <c r="A39" s="43">
        <f>IF(ISBLANK(Distance Control_12),"",Control_12 Distance)</f>
        <v>673.0999999999999</v>
      </c>
      <c r="B39" s="44">
        <f>Control_12 Open_time</f>
        <v>1.0173611111111112</v>
      </c>
      <c r="C39" s="44">
        <f>Control_12 Close_time</f>
        <v>2.0583333333333336</v>
      </c>
      <c r="D39" s="45">
        <f>IF(ISBLANK(Locale Control_12),"",Locale Control_12)</f>
        <v>0</v>
      </c>
      <c r="E39" s="39">
        <f>IF(ISBLANK(Control_12 Establishment_2),"",Control_12 Establishment_2)</f>
        <v>0</v>
      </c>
      <c r="F39" s="40"/>
      <c r="G39" s="41"/>
      <c r="H39" s="11" t="s">
        <v>62</v>
      </c>
      <c r="K39" s="42"/>
    </row>
    <row r="40" spans="1:20" ht="36" customHeight="1">
      <c r="A40" s="46"/>
      <c r="B40" s="47">
        <f>Control_12 Open_time</f>
        <v>1.0173611111111112</v>
      </c>
      <c r="C40" s="47">
        <f>Control_12 Close_time</f>
        <v>2.0583333333333336</v>
      </c>
      <c r="D40" s="48"/>
      <c r="E40" s="49">
        <f>IF(ISBLANK(Control_12 Establishment_3),"",Control_12 Establishment_3)</f>
        <v>0</v>
      </c>
      <c r="F40" s="50"/>
      <c r="G40" s="51"/>
      <c r="H40" s="11" t="s">
        <v>62</v>
      </c>
      <c r="J40" s="53" t="s">
        <v>88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19" ht="36" customHeight="1">
      <c r="A41" s="36"/>
      <c r="B41" s="37">
        <f>Control_13 Open_time</f>
        <v>1.1256944444444446</v>
      </c>
      <c r="C41" s="37">
        <f>Control_13 Close_time</f>
        <v>2.325</v>
      </c>
      <c r="D41" s="38"/>
      <c r="E41" s="39">
        <f>IF(ISBLANK(Control_13 Establishment_1),"",Control_13 Establishment_1)</f>
        <v>0</v>
      </c>
      <c r="F41" s="40"/>
      <c r="G41" s="41"/>
      <c r="H41" s="11" t="s">
        <v>62</v>
      </c>
      <c r="J41" s="54">
        <f>IF(ISBLANK(brevet),"",brevet&amp;" km Randonnée")</f>
        <v>0</v>
      </c>
      <c r="K41" s="54"/>
      <c r="L41" s="54"/>
      <c r="M41" s="54"/>
      <c r="N41" s="54"/>
      <c r="O41" s="54"/>
      <c r="P41" s="54"/>
      <c r="Q41" s="54"/>
      <c r="R41" s="54"/>
      <c r="S41" s="54"/>
    </row>
    <row r="42" spans="1:20" ht="36" customHeight="1">
      <c r="A42" s="43">
        <f>IF(ISBLANK(Distance Control_13),"",Control_13 Distance)</f>
        <v>746.1999999999999</v>
      </c>
      <c r="B42" s="44">
        <f>Control_13 Open_time</f>
        <v>1.1256944444444446</v>
      </c>
      <c r="C42" s="44">
        <f>Control_13 Close_time</f>
        <v>2.325</v>
      </c>
      <c r="D42" s="45">
        <f>IF(ISBLANK(Locale Control_13),"",Locale Control_13)</f>
        <v>0</v>
      </c>
      <c r="E42" s="39">
        <f>IF(ISBLANK(Control_13 Establishment_2),"",Control_13 Establishment_2)</f>
        <v>0</v>
      </c>
      <c r="F42" s="40"/>
      <c r="G42" s="41"/>
      <c r="H42" s="11" t="s">
        <v>62</v>
      </c>
      <c r="J42" s="55">
        <f>IF(ISBLANK(Brevet_Description),"",Brevet_Description)</f>
        <v>0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36" customHeight="1">
      <c r="A43" s="46"/>
      <c r="B43" s="47">
        <f>Control_13 Open_time</f>
        <v>1.1256944444444446</v>
      </c>
      <c r="C43" s="47">
        <f>Control_13 Close_time</f>
        <v>2.325</v>
      </c>
      <c r="D43" s="48"/>
      <c r="E43" s="49">
        <f>IF(ISBLANK(Control_13 Establishment_3),"",Control_13 Establishment_3)</f>
        <v>0</v>
      </c>
      <c r="F43" s="50"/>
      <c r="G43" s="51"/>
      <c r="H43" s="11" t="s">
        <v>62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36" customHeight="1">
      <c r="A44" s="36"/>
      <c r="B44" s="37">
        <f>Control_14 Open_time</f>
        <v>1.2756944444444445</v>
      </c>
      <c r="C44" s="37">
        <f>Control_14 Close_time</f>
        <v>2.691666666666667</v>
      </c>
      <c r="D44" s="52"/>
      <c r="E44" s="39">
        <f>IF(ISBLANK(Control_14 Establishment_1),"",Control_14 Establishment_1)</f>
        <v>0</v>
      </c>
      <c r="F44" s="40"/>
      <c r="G44" s="41"/>
      <c r="H44" s="11" t="s">
        <v>62</v>
      </c>
      <c r="J44" s="57" t="s">
        <v>68</v>
      </c>
      <c r="L44" s="58" t="str">
        <f>IF(ISBLANK(Surname),"",First_Name&amp;" "&amp;Initial&amp;" "&amp;Surname)</f>
        <v>  </v>
      </c>
      <c r="M44" s="59"/>
      <c r="N44" s="59"/>
      <c r="O44" s="59"/>
      <c r="P44" s="59"/>
      <c r="Q44" s="59"/>
      <c r="R44" s="59"/>
      <c r="S44" s="59"/>
      <c r="T44" s="60"/>
    </row>
    <row r="45" spans="1:20" ht="36" customHeight="1">
      <c r="A45" s="43">
        <f>IF(ISBLANK(Distance Control_14),"",Control_14 Distance)</f>
        <v>846.8999999999999</v>
      </c>
      <c r="B45" s="44">
        <f>Control_14 Open_time</f>
        <v>1.2756944444444445</v>
      </c>
      <c r="C45" s="44">
        <f>Control_14 Close_time</f>
        <v>2.691666666666667</v>
      </c>
      <c r="D45" s="45">
        <f>IF(ISBLANK(Locale Control_14),"",Locale Control_14)</f>
        <v>0</v>
      </c>
      <c r="E45" s="39">
        <f>IF(ISBLANK(Control_14 Establishment_2),"",Control_14 Establishment_2)</f>
        <v>0</v>
      </c>
      <c r="F45" s="40"/>
      <c r="G45" s="41"/>
      <c r="H45" s="11" t="s">
        <v>62</v>
      </c>
      <c r="J45" s="57" t="s">
        <v>69</v>
      </c>
      <c r="K45" s="57"/>
      <c r="L45" s="61">
        <f>IF(ISBLANK(Address_1),"",Address_1)</f>
      </c>
      <c r="M45" s="62"/>
      <c r="N45" s="62"/>
      <c r="O45" s="62"/>
      <c r="P45" s="62"/>
      <c r="Q45" s="62"/>
      <c r="R45" s="62"/>
      <c r="S45" s="62"/>
      <c r="T45" s="63"/>
    </row>
    <row r="46" spans="1:20" ht="36" customHeight="1">
      <c r="A46" s="46"/>
      <c r="B46" s="47">
        <f>Control_14 Open_time</f>
        <v>1.2756944444444445</v>
      </c>
      <c r="C46" s="47">
        <f>Control_14 Close_time</f>
        <v>2.691666666666667</v>
      </c>
      <c r="D46" s="48"/>
      <c r="E46" s="49">
        <f>IF(ISBLANK(Control_14 Establishment_3),"",Control_14 Establishment_3)</f>
        <v>0</v>
      </c>
      <c r="F46" s="50"/>
      <c r="G46" s="51"/>
      <c r="H46" s="11" t="s">
        <v>62</v>
      </c>
      <c r="J46" s="57"/>
      <c r="K46" s="57"/>
      <c r="L46" s="61">
        <f>IF(ISBLANK(Address_2),"",Address_2)</f>
      </c>
      <c r="M46" s="62"/>
      <c r="N46" s="62"/>
      <c r="O46" s="62"/>
      <c r="P46" s="62"/>
      <c r="Q46" s="62"/>
      <c r="R46" s="62"/>
      <c r="S46" s="62"/>
      <c r="T46" s="63"/>
    </row>
    <row r="47" spans="1:20" ht="36" customHeight="1">
      <c r="A47" s="36"/>
      <c r="B47" s="37">
        <f>Control_15 Open_time</f>
        <v>1.3444444444444446</v>
      </c>
      <c r="C47" s="37">
        <f>Control_15 Close_time</f>
        <v>2.8604166666666666</v>
      </c>
      <c r="D47" s="52"/>
      <c r="E47" s="39">
        <f>IF(ISBLANK(Control_15 Establishment_1),"",Control_15 Establishment_1)</f>
        <v>0</v>
      </c>
      <c r="F47" s="40"/>
      <c r="G47" s="41"/>
      <c r="H47" s="11" t="s">
        <v>62</v>
      </c>
      <c r="J47" s="57" t="s">
        <v>70</v>
      </c>
      <c r="K47" s="57"/>
      <c r="L47" s="61">
        <f>IF(ISBLANK(City),"",City)</f>
      </c>
      <c r="M47" s="62"/>
      <c r="N47" s="62"/>
      <c r="O47" s="64"/>
      <c r="P47" s="64" t="s">
        <v>71</v>
      </c>
      <c r="Q47" s="64"/>
      <c r="R47" s="64"/>
      <c r="S47" s="61">
        <f>IF(ISBLANK(Province_State),"",Province_State)</f>
      </c>
      <c r="T47" s="63"/>
    </row>
    <row r="48" spans="1:20" ht="36" customHeight="1">
      <c r="A48" s="43">
        <f>IF(ISBLANK(Distance Control_15),"",Control_15 Distance)</f>
        <v>893.1999999999998</v>
      </c>
      <c r="B48" s="44">
        <f>Control_15 Open_time</f>
        <v>1.3444444444444446</v>
      </c>
      <c r="C48" s="44">
        <f>Control_15 Close_time</f>
        <v>2.8604166666666666</v>
      </c>
      <c r="D48" s="45">
        <f>IF(ISBLANK(Locale Control_15),"",Locale Control_15)</f>
        <v>0</v>
      </c>
      <c r="E48" s="39">
        <f>IF(ISBLANK(Control_15 Establishment_2),"",Control_15 Establishment_2)</f>
        <v>0</v>
      </c>
      <c r="F48" s="40"/>
      <c r="G48" s="41"/>
      <c r="H48" s="11" t="s">
        <v>62</v>
      </c>
      <c r="J48" s="57" t="s">
        <v>72</v>
      </c>
      <c r="K48" s="57"/>
      <c r="L48" s="61">
        <f>IF(ISBLANK(Country),"",Country)</f>
      </c>
      <c r="M48" s="62"/>
      <c r="N48" s="62"/>
      <c r="O48" s="64"/>
      <c r="P48" s="64" t="s">
        <v>73</v>
      </c>
      <c r="Q48" s="64"/>
      <c r="R48" s="64"/>
      <c r="S48" s="65">
        <f>IF(ISBLANK(Postal_Code),"",Postal_Code)</f>
      </c>
      <c r="T48" s="63"/>
    </row>
    <row r="49" spans="1:19" ht="36" customHeight="1">
      <c r="A49" s="46"/>
      <c r="B49" s="47">
        <f>Control_15 Open_time</f>
        <v>1.3444444444444446</v>
      </c>
      <c r="C49" s="47">
        <f>Control_15 Close_time</f>
        <v>2.8604166666666666</v>
      </c>
      <c r="D49" s="48"/>
      <c r="E49" s="49">
        <f>IF(ISBLANK(Control_15 Establishment_3),"",Control_15 Establishment_3)</f>
        <v>0</v>
      </c>
      <c r="F49" s="50"/>
      <c r="G49" s="51"/>
      <c r="H49" s="11" t="s">
        <v>62</v>
      </c>
      <c r="L49" s="66"/>
      <c r="M49" s="66"/>
      <c r="N49" s="66"/>
      <c r="O49" s="66"/>
      <c r="P49" s="66"/>
      <c r="Q49" s="66"/>
      <c r="R49" s="66"/>
      <c r="S49" s="66"/>
    </row>
    <row r="50" spans="1:20" ht="36" customHeight="1">
      <c r="A50" s="36"/>
      <c r="B50" s="37">
        <f>Control_16 Open_time</f>
        <v>1.5104166666666667</v>
      </c>
      <c r="C50" s="37">
        <f>Control_16 Close_time</f>
        <v>3.25</v>
      </c>
      <c r="D50" s="52"/>
      <c r="E50" s="39">
        <f>IF(ISBLANK(Control_16 Establishment_1),"",Control_16 Establishment_1)</f>
        <v>0</v>
      </c>
      <c r="F50" s="40"/>
      <c r="G50" s="41"/>
      <c r="H50" s="11" t="s">
        <v>62</v>
      </c>
      <c r="J50" s="57" t="s">
        <v>74</v>
      </c>
      <c r="L50" s="67">
        <f>IF(ISBLANK(Home_telephone),"",Home_telephone)</f>
      </c>
      <c r="M50" s="67"/>
      <c r="N50" s="67"/>
      <c r="O50" s="66"/>
      <c r="P50" s="64" t="s">
        <v>75</v>
      </c>
      <c r="Q50" s="65">
        <f>IF(ISBLANK(email),"",email)</f>
      </c>
      <c r="R50" s="68"/>
      <c r="S50" s="68"/>
      <c r="T50" s="69"/>
    </row>
    <row r="51" spans="1:19" ht="36" customHeight="1">
      <c r="A51" s="43">
        <f>IF(ISBLANK(Distance Control_16),"",Control_16 Distance)</f>
        <v>1004.5</v>
      </c>
      <c r="B51" s="44">
        <f>Control_16 Open_time</f>
        <v>1.5104166666666667</v>
      </c>
      <c r="C51" s="44">
        <f>Control_16 Close_time</f>
        <v>3.25</v>
      </c>
      <c r="D51" s="45">
        <f>IF(ISBLANK(Locale Control_16),"",Locale Control_16)</f>
        <v>0</v>
      </c>
      <c r="E51" s="39">
        <f>IF(ISBLANK(Control_16 Establishment_2),"",Control_16 Establishment_2)</f>
        <v>0</v>
      </c>
      <c r="F51" s="40"/>
      <c r="G51" s="41"/>
      <c r="H51" s="11" t="s">
        <v>62</v>
      </c>
      <c r="L51" s="66"/>
      <c r="M51" s="66"/>
      <c r="N51" s="66"/>
      <c r="O51" s="66"/>
      <c r="P51" s="66"/>
      <c r="Q51" s="66"/>
      <c r="R51" s="66"/>
      <c r="S51" s="66"/>
    </row>
    <row r="52" spans="1:20" ht="36" customHeight="1">
      <c r="A52" s="46"/>
      <c r="B52" s="47">
        <f>Control_16 Open_time</f>
        <v>1.5104166666666667</v>
      </c>
      <c r="C52" s="47">
        <f>Control_16 Close_time</f>
        <v>3.25</v>
      </c>
      <c r="D52" s="48"/>
      <c r="E52" s="49">
        <f>IF(ISBLANK(Control_16 Establishment_3),"",Control_16 Establishment_3)</f>
        <v>0</v>
      </c>
      <c r="F52" s="50"/>
      <c r="G52" s="51"/>
      <c r="H52" s="11" t="s">
        <v>62</v>
      </c>
      <c r="J52" s="70" t="s">
        <v>76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1:20" ht="36" customHeight="1">
      <c r="A53" s="36"/>
      <c r="B53" s="37">
        <f>Control_17 Open_time</f>
        <v>0</v>
      </c>
      <c r="C53" s="37">
        <f>Control_17 Close_time</f>
        <v>0</v>
      </c>
      <c r="D53" s="52"/>
      <c r="E53" s="39">
        <f>IF(ISBLANK(Control_17 Establishment_1),"",Control_17 Establishment_1)</f>
        <v>0</v>
      </c>
      <c r="F53" s="40"/>
      <c r="G53" s="41"/>
      <c r="H53" s="11" t="s">
        <v>62</v>
      </c>
      <c r="J53" s="70" t="s">
        <v>77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1:19" ht="36" customHeight="1">
      <c r="A54" s="74">
        <f>IF(ISBLANK(Distance Control_17),"",Control_17 Distance)</f>
      </c>
      <c r="B54" s="75">
        <f>Control_17 Open_time</f>
        <v>0</v>
      </c>
      <c r="C54" s="75">
        <f>Control_17 Close_time</f>
        <v>0</v>
      </c>
      <c r="D54" s="39">
        <f>IF(ISBLANK(Locale Control_17),"",Locale Control_17)</f>
        <v>0</v>
      </c>
      <c r="E54" s="39">
        <f>IF(ISBLANK(Control_17 Establishment_2),"",Control_17 Establishment_2)</f>
        <v>0</v>
      </c>
      <c r="F54" s="40"/>
      <c r="G54" s="41"/>
      <c r="H54" s="11" t="s">
        <v>62</v>
      </c>
      <c r="L54" s="66"/>
      <c r="M54" s="66"/>
      <c r="N54" s="66"/>
      <c r="O54" s="66"/>
      <c r="P54" s="66"/>
      <c r="Q54" s="66"/>
      <c r="R54" s="66"/>
      <c r="S54" s="66"/>
    </row>
    <row r="55" spans="1:20" ht="36" customHeight="1">
      <c r="A55" s="46"/>
      <c r="B55" s="47">
        <f>Control_17 Open_time</f>
        <v>0</v>
      </c>
      <c r="C55" s="47">
        <f>Control_17 Close_time</f>
        <v>0</v>
      </c>
      <c r="D55" s="48"/>
      <c r="E55" s="49">
        <f>IF(ISBLANK(Control_17 Establishment_3),"",Control_17 Establishment_3)</f>
        <v>0</v>
      </c>
      <c r="F55" s="50"/>
      <c r="G55" s="51"/>
      <c r="H55" s="11" t="s">
        <v>62</v>
      </c>
      <c r="J55" s="71" t="s">
        <v>78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ht="36" customHeight="1">
      <c r="A56" s="36"/>
      <c r="B56" s="37">
        <f>Control_18 Open_time</f>
        <v>0</v>
      </c>
      <c r="C56" s="37">
        <f>Control_18 Close_time</f>
        <v>0</v>
      </c>
      <c r="D56" s="52"/>
      <c r="E56" s="39">
        <f>IF(ISBLANK(Control_18 Establishment_1),"",Control_18 Establishment_1)</f>
        <v>0</v>
      </c>
      <c r="F56" s="40"/>
      <c r="G56" s="41"/>
      <c r="H56" s="11" t="s">
        <v>62</v>
      </c>
      <c r="J56" s="57" t="s">
        <v>79</v>
      </c>
      <c r="K56" s="72">
        <f>IF(ISBLANK(Start_date),"",Start_date)</f>
      </c>
      <c r="L56" s="72"/>
      <c r="M56" s="72"/>
      <c r="N56" s="66"/>
      <c r="O56" s="64" t="s">
        <v>80</v>
      </c>
      <c r="P56" s="66"/>
      <c r="Q56" s="68"/>
      <c r="R56" s="68"/>
      <c r="S56" s="68"/>
      <c r="T56" s="73"/>
    </row>
    <row r="57" spans="1:20" ht="36" customHeight="1">
      <c r="A57" s="74">
        <f>IF(ISBLANK(Distance Control_18),"",Control_18 Distance)</f>
      </c>
      <c r="B57" s="75">
        <f>Control_18 Open_time</f>
        <v>0</v>
      </c>
      <c r="C57" s="75">
        <f>Control_18 Close_time</f>
        <v>0</v>
      </c>
      <c r="D57" s="39">
        <f>IF(ISBLANK(Locale Control_18),"",Locale Control_18)</f>
        <v>0</v>
      </c>
      <c r="E57" s="39">
        <f>IF(ISBLANK(Control_18 Establishment_2),"",Control_18 Establishment_2)</f>
        <v>0</v>
      </c>
      <c r="F57" s="40"/>
      <c r="G57" s="41"/>
      <c r="H57" s="11" t="s">
        <v>62</v>
      </c>
      <c r="L57" s="66"/>
      <c r="M57" s="66"/>
      <c r="N57" s="66"/>
      <c r="O57" s="64" t="s">
        <v>81</v>
      </c>
      <c r="P57" s="66"/>
      <c r="Q57" s="68"/>
      <c r="R57" s="68"/>
      <c r="S57" s="68"/>
      <c r="T57" s="73"/>
    </row>
    <row r="58" spans="1:20" ht="36" customHeight="1">
      <c r="A58" s="46"/>
      <c r="B58" s="47">
        <f>Control_18 Open_time</f>
        <v>0</v>
      </c>
      <c r="C58" s="47">
        <f>Control_18 Close_time</f>
        <v>0</v>
      </c>
      <c r="D58" s="48"/>
      <c r="E58" s="49">
        <f>IF(ISBLANK(Control_18 Establishment_3),"",Control_18 Establishment_3)</f>
        <v>0</v>
      </c>
      <c r="F58" s="50"/>
      <c r="G58" s="51"/>
      <c r="H58" s="11" t="s">
        <v>62</v>
      </c>
      <c r="J58" s="73"/>
      <c r="K58" s="73"/>
      <c r="L58" s="68"/>
      <c r="M58" s="68"/>
      <c r="N58" s="66"/>
      <c r="O58" s="64" t="s">
        <v>82</v>
      </c>
      <c r="P58" s="66"/>
      <c r="Q58" s="68"/>
      <c r="R58" s="68"/>
      <c r="S58" s="68"/>
      <c r="T58" s="73"/>
    </row>
    <row r="59" spans="1:19" ht="36" customHeight="1">
      <c r="A59" s="36"/>
      <c r="B59" s="37">
        <f>Control_19 Open_time</f>
        <v>0</v>
      </c>
      <c r="C59" s="37">
        <f>Control_19 Close_time</f>
        <v>0</v>
      </c>
      <c r="D59" s="52"/>
      <c r="E59" s="39">
        <f>IF(ISBLANK(Control_19 Establishment_1),"",Control_19 Establishment_1)</f>
        <v>0</v>
      </c>
      <c r="F59" s="40"/>
      <c r="G59" s="41"/>
      <c r="H59" s="11" t="s">
        <v>62</v>
      </c>
      <c r="J59" s="76" t="s">
        <v>83</v>
      </c>
      <c r="K59" s="76"/>
      <c r="L59" s="76"/>
      <c r="M59" s="76"/>
      <c r="N59" s="66"/>
      <c r="O59" s="66"/>
      <c r="P59" s="66"/>
      <c r="Q59" s="66"/>
      <c r="R59" s="66"/>
      <c r="S59" s="66"/>
    </row>
    <row r="60" spans="1:19" ht="36" customHeight="1">
      <c r="A60" s="74">
        <f>IF(ISBLANK(Distance Control_19),"",Control_19 Distance)</f>
      </c>
      <c r="B60" s="75">
        <f>Control_19 Open_time</f>
        <v>0</v>
      </c>
      <c r="C60" s="75">
        <f>Control_19 Close_time</f>
        <v>0</v>
      </c>
      <c r="D60" s="39">
        <f>IF(ISBLANK(Locale Control_19),"",Locale Control_19)</f>
        <v>0</v>
      </c>
      <c r="E60" s="39">
        <f>IF(ISBLANK(Control_19 Establishment_2),"",Control_19 Establishment_2)</f>
        <v>0</v>
      </c>
      <c r="F60" s="40"/>
      <c r="G60" s="41"/>
      <c r="H60" s="11" t="s">
        <v>62</v>
      </c>
      <c r="L60" s="77" t="s">
        <v>84</v>
      </c>
      <c r="M60" s="77"/>
      <c r="N60" s="77"/>
      <c r="O60" s="77"/>
      <c r="P60" s="77"/>
      <c r="Q60" s="77"/>
      <c r="R60" s="66"/>
      <c r="S60" s="66"/>
    </row>
    <row r="61" spans="1:19" ht="36" customHeight="1">
      <c r="A61" s="46"/>
      <c r="B61" s="47">
        <f>Control_19 Open_time</f>
        <v>0</v>
      </c>
      <c r="C61" s="47">
        <f>Control_19 Close_time</f>
        <v>0</v>
      </c>
      <c r="D61" s="48"/>
      <c r="E61" s="49">
        <f>IF(ISBLANK(Control_19 Establishment_3),"",Control_19 Establishment_3)</f>
        <v>0</v>
      </c>
      <c r="F61" s="50"/>
      <c r="G61" s="51"/>
      <c r="H61" s="11" t="s">
        <v>62</v>
      </c>
      <c r="K61" s="78"/>
      <c r="L61" s="79"/>
      <c r="M61" s="79"/>
      <c r="N61" s="80"/>
      <c r="O61" s="81"/>
      <c r="P61" s="79"/>
      <c r="Q61" s="79"/>
      <c r="R61" s="80"/>
      <c r="S61" s="82" t="s">
        <v>85</v>
      </c>
    </row>
    <row r="62" spans="1:19" ht="36" customHeight="1">
      <c r="A62" s="36"/>
      <c r="B62" s="37">
        <f>Control_20 Open_time</f>
        <v>0</v>
      </c>
      <c r="C62" s="37">
        <f>Control_20 Close_time</f>
        <v>0</v>
      </c>
      <c r="D62" s="52"/>
      <c r="E62" s="39">
        <f>IF(ISBLANK(Control_20 Establishment_1),"",Control_20 Establishment_1)</f>
        <v>0</v>
      </c>
      <c r="F62" s="40"/>
      <c r="G62" s="41"/>
      <c r="H62" s="11" t="s">
        <v>62</v>
      </c>
      <c r="K62" s="83"/>
      <c r="L62" s="84"/>
      <c r="M62" s="84"/>
      <c r="N62" s="85"/>
      <c r="O62" s="86"/>
      <c r="P62" s="84"/>
      <c r="Q62" s="84"/>
      <c r="R62" s="85"/>
      <c r="S62" s="87" t="s">
        <v>86</v>
      </c>
    </row>
    <row r="63" spans="1:21" ht="36" customHeight="1">
      <c r="A63" s="74">
        <f>IF(ISBLANK(Distance Control_20),"",Control_20 Distance)</f>
      </c>
      <c r="B63" s="75">
        <f>Control_20 Open_time</f>
        <v>0</v>
      </c>
      <c r="C63" s="75">
        <f>Control_20 Close_time</f>
        <v>0</v>
      </c>
      <c r="D63" s="39">
        <f>IF(ISBLANK(Locale Control_20),"",Locale Control_20)</f>
        <v>0</v>
      </c>
      <c r="E63" s="39">
        <f>IF(ISBLANK(Control_20 Establishment_2),"",Control_20 Establishment_2)</f>
        <v>0</v>
      </c>
      <c r="F63" s="40"/>
      <c r="G63" s="41"/>
      <c r="H63" s="11" t="s">
        <v>62</v>
      </c>
      <c r="K63" s="88"/>
      <c r="L63" s="68"/>
      <c r="M63" s="68"/>
      <c r="N63" s="89"/>
      <c r="O63" s="90"/>
      <c r="P63" s="68"/>
      <c r="Q63" s="68"/>
      <c r="R63" s="89"/>
      <c r="S63" s="66"/>
      <c r="U63" s="91"/>
    </row>
    <row r="64" spans="1:21" ht="36" customHeight="1">
      <c r="A64" s="46"/>
      <c r="B64" s="47">
        <f>Control_20 Open_time</f>
        <v>0</v>
      </c>
      <c r="C64" s="47">
        <f>Control_20 Close_time</f>
        <v>0</v>
      </c>
      <c r="D64" s="48"/>
      <c r="E64" s="49">
        <f>IF(ISBLANK(Control_20 Establishment_3),"",Control_20 Establishment_3)</f>
        <v>0</v>
      </c>
      <c r="F64" s="50"/>
      <c r="G64" s="51"/>
      <c r="H64" s="11" t="s">
        <v>62</v>
      </c>
      <c r="L64" s="64" t="s">
        <v>87</v>
      </c>
      <c r="M64" s="66"/>
      <c r="N64" s="62" t="str">
        <f>IF(ISBLANK(Brevet_Number),"",Brevet_Number)</f>
        <v>VI1000A</v>
      </c>
      <c r="O64" s="62"/>
      <c r="P64" s="62"/>
      <c r="Q64" s="66"/>
      <c r="R64" s="66"/>
      <c r="S64" s="66"/>
      <c r="U64" s="91"/>
    </row>
    <row r="65" ht="12.75">
      <c r="A65"/>
    </row>
    <row r="66" spans="1:8" ht="12.75">
      <c r="A66"/>
      <c r="H66"/>
    </row>
    <row r="67" spans="1:8" ht="12.75">
      <c r="A67"/>
      <c r="H67"/>
    </row>
    <row r="68" spans="1:8" ht="12.75">
      <c r="A68"/>
      <c r="H68"/>
    </row>
    <row r="69" spans="1:8" ht="12.75">
      <c r="A69"/>
      <c r="H69"/>
    </row>
    <row r="70" spans="1:8" ht="12.75">
      <c r="A70"/>
      <c r="H70"/>
    </row>
    <row r="71" spans="1:8" ht="12.75">
      <c r="A71"/>
      <c r="H71"/>
    </row>
    <row r="72" spans="1:8" ht="12.75">
      <c r="A72"/>
      <c r="H72"/>
    </row>
    <row r="73" spans="1:8" ht="12.75">
      <c r="A73"/>
      <c r="H73"/>
    </row>
    <row r="74" spans="1:8" ht="12.75">
      <c r="A74"/>
      <c r="H74"/>
    </row>
    <row r="75" spans="1:8" ht="12.75">
      <c r="A75"/>
      <c r="H75"/>
    </row>
    <row r="76" spans="1:8" ht="12.75">
      <c r="A76"/>
      <c r="H76"/>
    </row>
  </sheetData>
  <sheetProtection selectLockedCells="1" selectUnlockedCells="1"/>
  <mergeCells count="2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  <mergeCell ref="J40:T40"/>
    <mergeCell ref="J41:S41"/>
    <mergeCell ref="J42:T42"/>
    <mergeCell ref="L50:N50"/>
    <mergeCell ref="J52:T52"/>
    <mergeCell ref="J53:T53"/>
    <mergeCell ref="J55:T55"/>
    <mergeCell ref="K56:M56"/>
    <mergeCell ref="J59:M59"/>
    <mergeCell ref="L60:Q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P3" activePane="bottomRight" state="frozen"/>
      <selection pane="topLeft" activeCell="A1" sqref="A1"/>
      <selection pane="topRight" activeCell="P1" sqref="P1"/>
      <selection pane="bottomLeft" activeCell="A3" sqref="A3"/>
      <selection pane="bottomRight" activeCell="C8" sqref="C8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104"/>
      <c r="B1" s="105" t="s">
        <v>89</v>
      </c>
      <c r="C1" s="105" t="s">
        <v>90</v>
      </c>
      <c r="D1" s="105" t="s">
        <v>91</v>
      </c>
      <c r="E1" s="105" t="s">
        <v>92</v>
      </c>
      <c r="F1" s="105" t="s">
        <v>93</v>
      </c>
      <c r="G1" s="105" t="s">
        <v>70</v>
      </c>
      <c r="H1" s="106" t="s">
        <v>71</v>
      </c>
      <c r="I1" s="105" t="s">
        <v>72</v>
      </c>
      <c r="J1" s="105" t="s">
        <v>73</v>
      </c>
      <c r="K1" s="107" t="s">
        <v>94</v>
      </c>
      <c r="L1" s="107" t="s">
        <v>95</v>
      </c>
      <c r="M1" s="108" t="s">
        <v>96</v>
      </c>
      <c r="N1" s="109" t="s">
        <v>75</v>
      </c>
      <c r="O1" s="110" t="s">
        <v>97</v>
      </c>
      <c r="P1" s="110" t="s">
        <v>98</v>
      </c>
      <c r="Q1" s="110" t="s">
        <v>99</v>
      </c>
      <c r="R1" s="110" t="s">
        <v>100</v>
      </c>
    </row>
    <row r="2" spans="1:18" ht="12.75">
      <c r="A2" s="104"/>
      <c r="B2" s="111">
        <f aca="true" t="shared" si="0" ref="B2:N2">IF(ISBLANK(B3),"",B3)</f>
      </c>
      <c r="C2" s="111">
        <f t="shared" si="0"/>
      </c>
      <c r="D2" s="111">
        <f t="shared" si="0"/>
      </c>
      <c r="E2" s="111">
        <f t="shared" si="0"/>
      </c>
      <c r="F2" s="111">
        <f t="shared" si="0"/>
      </c>
      <c r="G2" s="111">
        <f t="shared" si="0"/>
      </c>
      <c r="H2" s="111">
        <f t="shared" si="0"/>
      </c>
      <c r="I2" s="111">
        <f t="shared" si="0"/>
      </c>
      <c r="J2" s="111">
        <f t="shared" si="0"/>
      </c>
      <c r="K2" s="112">
        <f t="shared" si="0"/>
      </c>
      <c r="L2" s="112">
        <f t="shared" si="0"/>
      </c>
      <c r="M2" s="112">
        <f t="shared" si="0"/>
      </c>
      <c r="N2" s="111">
        <f t="shared" si="0"/>
      </c>
      <c r="O2" s="113"/>
      <c r="P2" s="114"/>
      <c r="Q2" s="113"/>
      <c r="R2" s="113"/>
    </row>
    <row r="3" spans="1:18" ht="12.75">
      <c r="A3" s="115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117"/>
      <c r="M3" s="117"/>
      <c r="N3" s="116"/>
      <c r="O3" s="118"/>
      <c r="P3" s="119"/>
      <c r="Q3" s="118"/>
      <c r="R3" s="118"/>
    </row>
    <row r="4" spans="2:18" ht="12.75"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6"/>
      <c r="O4" s="119"/>
      <c r="P4" s="119"/>
      <c r="Q4" s="119"/>
      <c r="R4" s="118"/>
    </row>
    <row r="5" spans="1:18" ht="12.75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7"/>
      <c r="L5" s="117"/>
      <c r="M5" s="117"/>
      <c r="N5" s="116"/>
      <c r="O5" s="118"/>
      <c r="P5" s="118"/>
      <c r="Q5" s="118"/>
      <c r="R5" s="118"/>
    </row>
    <row r="6" spans="1:18" ht="12.7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7"/>
      <c r="L6" s="117"/>
      <c r="M6" s="117"/>
      <c r="N6" s="116"/>
      <c r="O6" s="118"/>
      <c r="P6" s="118"/>
      <c r="Q6" s="118"/>
      <c r="R6" s="118"/>
    </row>
    <row r="7" spans="2:18" ht="12.75">
      <c r="B7" s="116"/>
      <c r="C7" s="116"/>
      <c r="D7" s="116"/>
      <c r="E7" s="116"/>
      <c r="F7" s="116"/>
      <c r="G7" s="116"/>
      <c r="H7" s="116"/>
      <c r="I7" s="116"/>
      <c r="J7" s="116"/>
      <c r="K7" s="117"/>
      <c r="L7" s="117"/>
      <c r="M7" s="117"/>
      <c r="N7" s="116"/>
      <c r="O7" s="119"/>
      <c r="P7" s="118"/>
      <c r="Q7" s="119"/>
      <c r="R7" s="118"/>
    </row>
    <row r="8" spans="1:18" ht="12.7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7"/>
      <c r="L8" s="117"/>
      <c r="M8" s="117"/>
      <c r="N8" s="116"/>
      <c r="O8" s="118"/>
      <c r="P8" s="119"/>
      <c r="Q8" s="118"/>
      <c r="R8" s="118"/>
    </row>
    <row r="9" spans="2:18" ht="12.75">
      <c r="B9" s="116"/>
      <c r="C9" s="116"/>
      <c r="D9" s="116"/>
      <c r="E9" s="116"/>
      <c r="F9" s="116"/>
      <c r="G9" s="116"/>
      <c r="H9" s="116"/>
      <c r="I9" s="116"/>
      <c r="J9" s="116"/>
      <c r="K9" s="117"/>
      <c r="L9" s="117"/>
      <c r="M9" s="117"/>
      <c r="N9" s="116"/>
      <c r="O9" s="119"/>
      <c r="P9" s="119"/>
      <c r="Q9" s="119"/>
      <c r="R9" s="118"/>
    </row>
    <row r="10" spans="1:18" ht="12.7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7"/>
      <c r="L10" s="117"/>
      <c r="M10" s="117"/>
      <c r="N10" s="116"/>
      <c r="O10" s="118"/>
      <c r="P10" s="119"/>
      <c r="Q10" s="118"/>
      <c r="R10" s="118"/>
    </row>
    <row r="11" spans="2:18" ht="12.75"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16"/>
      <c r="O11" s="119"/>
      <c r="P11" s="118"/>
      <c r="Q11" s="119"/>
      <c r="R11" s="118"/>
    </row>
    <row r="12" spans="1:18" ht="12.7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7"/>
      <c r="L12" s="117"/>
      <c r="M12" s="117"/>
      <c r="N12" s="116"/>
      <c r="O12" s="118"/>
      <c r="P12" s="119"/>
      <c r="Q12" s="118"/>
      <c r="R12" s="118"/>
    </row>
    <row r="13" spans="1:18" ht="12.75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7"/>
      <c r="L13" s="117"/>
      <c r="M13" s="117"/>
      <c r="N13" s="116"/>
      <c r="O13" s="118"/>
      <c r="P13" s="118"/>
      <c r="Q13" s="118"/>
      <c r="R13" s="118"/>
    </row>
    <row r="14" spans="1:18" ht="12.75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7"/>
      <c r="L14" s="117"/>
      <c r="M14" s="117"/>
      <c r="N14" s="116"/>
      <c r="O14" s="118"/>
      <c r="P14" s="119"/>
      <c r="Q14" s="118"/>
      <c r="R14" s="118"/>
    </row>
    <row r="15" spans="1:18" ht="12.75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7"/>
      <c r="L15" s="117"/>
      <c r="M15" s="117"/>
      <c r="N15" s="116"/>
      <c r="O15" s="118"/>
      <c r="P15" s="119"/>
      <c r="Q15" s="118"/>
      <c r="R15" s="118"/>
    </row>
    <row r="16" spans="1:18" ht="12.7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7"/>
      <c r="L16" s="117"/>
      <c r="M16" s="117"/>
      <c r="N16" s="116"/>
      <c r="O16" s="118"/>
      <c r="P16" s="118"/>
      <c r="Q16" s="118"/>
      <c r="R16" s="118"/>
    </row>
    <row r="17" spans="1:18" ht="12.7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20"/>
      <c r="L17" s="117"/>
      <c r="M17" s="117"/>
      <c r="N17" s="116"/>
      <c r="O17" s="118"/>
      <c r="P17" s="119"/>
      <c r="Q17" s="118"/>
      <c r="R17" s="118"/>
    </row>
    <row r="18" spans="1:18" ht="12.75">
      <c r="A18" s="115"/>
      <c r="B18" s="116"/>
      <c r="C18" s="116"/>
      <c r="D18" s="116"/>
      <c r="E18" s="121"/>
      <c r="F18" s="116"/>
      <c r="G18" s="116"/>
      <c r="H18" s="116"/>
      <c r="I18" s="116"/>
      <c r="J18" s="116"/>
      <c r="K18" s="117"/>
      <c r="L18" s="117"/>
      <c r="M18" s="117"/>
      <c r="N18" s="116"/>
      <c r="O18" s="118"/>
      <c r="P18" s="119"/>
      <c r="Q18" s="118"/>
      <c r="R18" s="118"/>
    </row>
    <row r="19" spans="1:18" ht="12.75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7"/>
      <c r="L19" s="117"/>
      <c r="M19" s="117"/>
      <c r="N19" s="116"/>
      <c r="O19" s="118"/>
      <c r="P19" s="119"/>
      <c r="Q19" s="118"/>
      <c r="R19" s="118"/>
    </row>
    <row r="20" spans="1:18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7"/>
      <c r="L20" s="117"/>
      <c r="M20" s="117"/>
      <c r="N20" s="116"/>
      <c r="O20" s="118"/>
      <c r="P20" s="119"/>
      <c r="Q20" s="118"/>
      <c r="R20" s="118"/>
    </row>
    <row r="21" spans="1:18" ht="12.7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7"/>
      <c r="L21" s="117"/>
      <c r="M21" s="117"/>
      <c r="N21" s="116"/>
      <c r="O21" s="118"/>
      <c r="P21" s="118"/>
      <c r="Q21" s="118"/>
      <c r="R21" s="118"/>
    </row>
    <row r="22" spans="1:18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7"/>
      <c r="L22" s="117"/>
      <c r="M22" s="117"/>
      <c r="N22" s="116"/>
      <c r="O22" s="118"/>
      <c r="P22" s="118"/>
      <c r="Q22" s="118"/>
      <c r="R22" s="118"/>
    </row>
    <row r="23" spans="1:18" ht="12.75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7"/>
      <c r="L23" s="117"/>
      <c r="M23" s="117"/>
      <c r="N23" s="116"/>
      <c r="O23" s="118"/>
      <c r="P23" s="118"/>
      <c r="Q23" s="118"/>
      <c r="R23" s="118"/>
    </row>
    <row r="24" spans="1:18" ht="12.7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7"/>
      <c r="L24" s="117"/>
      <c r="M24" s="117"/>
      <c r="N24" s="116"/>
      <c r="O24" s="118"/>
      <c r="P24" s="119"/>
      <c r="Q24" s="118"/>
      <c r="R24" s="118"/>
    </row>
    <row r="25" spans="1:18" ht="12.7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7"/>
      <c r="L25" s="117"/>
      <c r="M25" s="117"/>
      <c r="N25" s="116"/>
      <c r="O25" s="118"/>
      <c r="P25" s="118"/>
      <c r="Q25" s="118"/>
      <c r="R25" s="118"/>
    </row>
    <row r="26" spans="1:18" ht="12.7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7"/>
      <c r="L26" s="117"/>
      <c r="M26" s="117"/>
      <c r="N26" s="116"/>
      <c r="O26" s="118"/>
      <c r="P26" s="119"/>
      <c r="Q26" s="118"/>
      <c r="R26" s="118"/>
    </row>
    <row r="27" spans="1:18" ht="12.7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7"/>
      <c r="L27" s="117"/>
      <c r="M27" s="117"/>
      <c r="N27" s="116"/>
      <c r="O27" s="118"/>
      <c r="P27" s="119"/>
      <c r="Q27" s="118"/>
      <c r="R27" s="118"/>
    </row>
    <row r="28" spans="1:18" ht="12.7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7"/>
      <c r="L28" s="117"/>
      <c r="M28" s="117"/>
      <c r="N28" s="116"/>
      <c r="O28" s="118"/>
      <c r="P28" s="119"/>
      <c r="Q28" s="118"/>
      <c r="R28" s="118"/>
    </row>
    <row r="29" spans="1:18" ht="12.75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7"/>
      <c r="L29" s="117"/>
      <c r="M29" s="117"/>
      <c r="N29" s="116"/>
      <c r="O29" s="118"/>
      <c r="P29" s="119"/>
      <c r="Q29" s="118"/>
      <c r="R29" s="118"/>
    </row>
    <row r="30" spans="1:18" ht="12.75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7"/>
      <c r="L30" s="117"/>
      <c r="M30" s="117"/>
      <c r="N30" s="116"/>
      <c r="O30" s="118"/>
      <c r="P30" s="119"/>
      <c r="Q30" s="118"/>
      <c r="R30" s="118"/>
    </row>
    <row r="31" spans="1:18" ht="12.7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7"/>
      <c r="L31" s="117"/>
      <c r="M31" s="117"/>
      <c r="N31" s="116"/>
      <c r="O31" s="118"/>
      <c r="P31" s="119"/>
      <c r="Q31" s="118"/>
      <c r="R31" s="118"/>
    </row>
    <row r="32" spans="11:18" ht="12.75">
      <c r="K32" s="122"/>
      <c r="L32" s="122"/>
      <c r="M32" s="122"/>
      <c r="O32" s="123"/>
      <c r="Q32" s="123"/>
      <c r="R32" s="123"/>
    </row>
    <row r="34" ht="12.75">
      <c r="P34" t="s">
        <v>101</v>
      </c>
    </row>
    <row r="35" ht="12.75">
      <c r="P35" t="s">
        <v>102</v>
      </c>
    </row>
    <row r="36" ht="12.75">
      <c r="P36" t="s">
        <v>103</v>
      </c>
    </row>
    <row r="37" ht="12.75">
      <c r="P37" t="s">
        <v>104</v>
      </c>
    </row>
    <row r="38" ht="12.75">
      <c r="P38" t="s">
        <v>105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95"/>
  <sheetViews>
    <sheetView showGridLines="0" tabSelected="1" workbookViewId="0" topLeftCell="A13">
      <selection activeCell="M8" sqref="M8"/>
    </sheetView>
  </sheetViews>
  <sheetFormatPr defaultColWidth="9.140625" defaultRowHeight="12.75"/>
  <cols>
    <col min="1" max="1" width="6.57421875" style="124" customWidth="1"/>
    <col min="2" max="2" width="3.7109375" style="125" customWidth="1"/>
    <col min="3" max="3" width="30.7109375" style="126" customWidth="1"/>
    <col min="4" max="4" width="5.57421875" style="124" customWidth="1"/>
    <col min="5" max="5" width="0.71875" style="0" customWidth="1"/>
    <col min="6" max="6" width="6.57421875" style="124" customWidth="1"/>
    <col min="7" max="7" width="3.7109375" style="125" customWidth="1"/>
    <col min="8" max="8" width="30.7109375" style="126" customWidth="1"/>
    <col min="9" max="9" width="5.57421875" style="124" customWidth="1"/>
    <col min="11" max="11" width="5.57421875" style="0" customWidth="1"/>
    <col min="12" max="12" width="2.28125" style="0" customWidth="1"/>
    <col min="13" max="13" width="26.00390625" style="0" customWidth="1"/>
  </cols>
  <sheetData>
    <row r="1" spans="1:9" ht="58.5" customHeight="1">
      <c r="A1" s="127" t="s">
        <v>106</v>
      </c>
      <c r="B1" s="128" t="s">
        <v>107</v>
      </c>
      <c r="C1" s="129" t="s">
        <v>108</v>
      </c>
      <c r="D1" s="130" t="s">
        <v>109</v>
      </c>
      <c r="F1" s="127" t="s">
        <v>106</v>
      </c>
      <c r="G1" s="128" t="s">
        <v>107</v>
      </c>
      <c r="H1" s="129" t="s">
        <v>108</v>
      </c>
      <c r="I1" s="130" t="s">
        <v>109</v>
      </c>
    </row>
    <row r="2" spans="1:9" ht="12.75" customHeight="1">
      <c r="A2" s="131"/>
      <c r="B2" s="132"/>
      <c r="C2" s="133" t="s">
        <v>110</v>
      </c>
      <c r="D2" s="134"/>
      <c r="F2" s="131">
        <f>A23+D23</f>
        <v>12.399999999999997</v>
      </c>
      <c r="G2" s="132" t="s">
        <v>111</v>
      </c>
      <c r="H2" s="135" t="s">
        <v>112</v>
      </c>
      <c r="I2" s="134">
        <v>46.7</v>
      </c>
    </row>
    <row r="3" spans="1:9" ht="12.75" customHeight="1">
      <c r="A3" s="131"/>
      <c r="B3" s="136"/>
      <c r="C3" s="137" t="s">
        <v>22</v>
      </c>
      <c r="D3" s="134"/>
      <c r="F3" s="131">
        <f aca="true" t="shared" si="0" ref="F3:F9">F2+I2</f>
        <v>59.1</v>
      </c>
      <c r="G3" s="132" t="s">
        <v>111</v>
      </c>
      <c r="H3" s="135" t="s">
        <v>113</v>
      </c>
      <c r="I3" s="134">
        <v>27.5</v>
      </c>
    </row>
    <row r="4" spans="1:9" ht="12.75" customHeight="1">
      <c r="A4" s="131"/>
      <c r="B4" s="132"/>
      <c r="C4" s="138"/>
      <c r="D4" s="134"/>
      <c r="F4" s="131">
        <f t="shared" si="0"/>
        <v>86.6</v>
      </c>
      <c r="G4" s="132" t="s">
        <v>111</v>
      </c>
      <c r="H4" s="135" t="s">
        <v>114</v>
      </c>
      <c r="I4" s="134">
        <v>17</v>
      </c>
    </row>
    <row r="5" spans="1:9" ht="12.75" customHeight="1">
      <c r="A5" s="131"/>
      <c r="B5" s="132" t="s">
        <v>115</v>
      </c>
      <c r="C5" s="139" t="s">
        <v>116</v>
      </c>
      <c r="D5" s="134">
        <v>0.3</v>
      </c>
      <c r="F5" s="131">
        <f t="shared" si="0"/>
        <v>103.6</v>
      </c>
      <c r="G5" s="132" t="s">
        <v>111</v>
      </c>
      <c r="H5" s="135" t="s">
        <v>117</v>
      </c>
      <c r="I5" s="134">
        <v>1.6</v>
      </c>
    </row>
    <row r="6" spans="1:9" ht="12.75" customHeight="1">
      <c r="A6" s="131">
        <f>A5+D5</f>
        <v>0.3</v>
      </c>
      <c r="B6" s="132" t="s">
        <v>118</v>
      </c>
      <c r="C6" s="135" t="s">
        <v>119</v>
      </c>
      <c r="D6" s="134">
        <v>1.4</v>
      </c>
      <c r="F6" s="131">
        <f t="shared" si="0"/>
        <v>105.19999999999999</v>
      </c>
      <c r="G6" s="140" t="s">
        <v>111</v>
      </c>
      <c r="H6" s="141" t="s">
        <v>120</v>
      </c>
      <c r="I6" s="134">
        <v>3.5</v>
      </c>
    </row>
    <row r="7" spans="1:11" ht="12.75" customHeight="1">
      <c r="A7" s="131">
        <f>A6+D6</f>
        <v>1.7</v>
      </c>
      <c r="B7" s="132" t="s">
        <v>111</v>
      </c>
      <c r="C7" s="135" t="s">
        <v>121</v>
      </c>
      <c r="D7" s="134">
        <v>0.8</v>
      </c>
      <c r="F7" s="131">
        <f t="shared" si="0"/>
        <v>108.69999999999999</v>
      </c>
      <c r="G7" s="142" t="s">
        <v>111</v>
      </c>
      <c r="H7" s="143" t="s">
        <v>122</v>
      </c>
      <c r="I7" s="134">
        <v>1.6</v>
      </c>
      <c r="K7" s="144"/>
    </row>
    <row r="8" spans="1:9" ht="12.75" customHeight="1">
      <c r="A8" s="131">
        <f>A7+D7</f>
        <v>2.5</v>
      </c>
      <c r="B8" s="132" t="s">
        <v>115</v>
      </c>
      <c r="C8" s="135" t="s">
        <v>123</v>
      </c>
      <c r="D8" s="134">
        <v>0.4</v>
      </c>
      <c r="F8" s="131">
        <f t="shared" si="0"/>
        <v>110.29999999999998</v>
      </c>
      <c r="G8" s="132" t="s">
        <v>111</v>
      </c>
      <c r="H8" s="132" t="s">
        <v>124</v>
      </c>
      <c r="I8" s="134">
        <v>1</v>
      </c>
    </row>
    <row r="9" spans="1:9" ht="12.75" customHeight="1">
      <c r="A9" s="131">
        <f>A8+D8</f>
        <v>2.9</v>
      </c>
      <c r="B9" s="132" t="s">
        <v>118</v>
      </c>
      <c r="C9" s="135" t="s">
        <v>125</v>
      </c>
      <c r="D9" s="134">
        <v>2.7</v>
      </c>
      <c r="F9" s="131">
        <f t="shared" si="0"/>
        <v>111.29999999999998</v>
      </c>
      <c r="G9" s="140" t="s">
        <v>111</v>
      </c>
      <c r="H9" s="141" t="s">
        <v>126</v>
      </c>
      <c r="I9" s="134">
        <v>0.5</v>
      </c>
    </row>
    <row r="10" spans="1:9" ht="12.75" customHeight="1">
      <c r="A10" s="131">
        <f>A9+D9</f>
        <v>5.6</v>
      </c>
      <c r="B10" s="132" t="s">
        <v>115</v>
      </c>
      <c r="C10" s="135" t="s">
        <v>127</v>
      </c>
      <c r="D10" s="134">
        <v>0.5</v>
      </c>
      <c r="F10" s="131"/>
      <c r="G10" s="132"/>
      <c r="H10" s="145"/>
      <c r="I10" s="134"/>
    </row>
    <row r="11" spans="1:9" ht="12.75" customHeight="1">
      <c r="A11" s="131">
        <f aca="true" t="shared" si="1" ref="A11:A23">A10+D10</f>
        <v>6.1</v>
      </c>
      <c r="B11" s="132" t="s">
        <v>111</v>
      </c>
      <c r="C11" s="145" t="s">
        <v>128</v>
      </c>
      <c r="D11" s="134">
        <v>0.3</v>
      </c>
      <c r="F11" s="146">
        <f>F9+I9</f>
        <v>111.79999999999998</v>
      </c>
      <c r="G11" s="138" t="s">
        <v>118</v>
      </c>
      <c r="H11" s="137" t="s">
        <v>129</v>
      </c>
      <c r="I11" s="134"/>
    </row>
    <row r="12" spans="1:9" ht="12.75" customHeight="1">
      <c r="A12" s="131">
        <f t="shared" si="1"/>
        <v>6.3999999999999995</v>
      </c>
      <c r="B12" s="132" t="s">
        <v>111</v>
      </c>
      <c r="C12" s="145" t="s">
        <v>130</v>
      </c>
      <c r="D12" s="134">
        <v>0.5</v>
      </c>
      <c r="F12" s="131"/>
      <c r="G12" s="132"/>
      <c r="H12" s="137" t="s">
        <v>131</v>
      </c>
      <c r="I12" s="134"/>
    </row>
    <row r="13" spans="1:9" ht="12.75" customHeight="1">
      <c r="A13" s="131">
        <f t="shared" si="1"/>
        <v>6.8999999999999995</v>
      </c>
      <c r="B13" s="132" t="s">
        <v>115</v>
      </c>
      <c r="C13" s="135" t="s">
        <v>132</v>
      </c>
      <c r="D13" s="134">
        <v>0.4</v>
      </c>
      <c r="F13" s="131"/>
      <c r="G13" s="132"/>
      <c r="H13" s="138" t="s">
        <v>133</v>
      </c>
      <c r="I13" s="134"/>
    </row>
    <row r="14" spans="1:9" ht="12.75" customHeight="1">
      <c r="A14" s="131">
        <f t="shared" si="1"/>
        <v>7.3</v>
      </c>
      <c r="B14" s="132" t="s">
        <v>118</v>
      </c>
      <c r="C14" s="145" t="s">
        <v>134</v>
      </c>
      <c r="D14" s="134">
        <v>0.6</v>
      </c>
      <c r="F14" s="131"/>
      <c r="G14" s="132"/>
      <c r="H14" s="145"/>
      <c r="I14" s="134"/>
    </row>
    <row r="15" spans="1:9" ht="12.75" customHeight="1">
      <c r="A15" s="131">
        <f t="shared" si="1"/>
        <v>7.8999999999999995</v>
      </c>
      <c r="B15" s="132" t="s">
        <v>115</v>
      </c>
      <c r="C15" s="135" t="s">
        <v>135</v>
      </c>
      <c r="D15" s="134">
        <v>0</v>
      </c>
      <c r="F15" s="131"/>
      <c r="G15" s="147" t="s">
        <v>118</v>
      </c>
      <c r="H15" s="145" t="s">
        <v>136</v>
      </c>
      <c r="I15" s="134">
        <v>0.8</v>
      </c>
    </row>
    <row r="16" spans="1:9" ht="12.75" customHeight="1">
      <c r="A16" s="131">
        <f t="shared" si="1"/>
        <v>7.8999999999999995</v>
      </c>
      <c r="B16" s="132" t="s">
        <v>115</v>
      </c>
      <c r="C16" s="145" t="s">
        <v>135</v>
      </c>
      <c r="D16" s="134">
        <v>0</v>
      </c>
      <c r="F16" s="131">
        <f>F11+I15</f>
        <v>112.59999999999998</v>
      </c>
      <c r="G16" s="140" t="s">
        <v>111</v>
      </c>
      <c r="H16" s="141" t="s">
        <v>137</v>
      </c>
      <c r="I16" s="134">
        <v>10.5</v>
      </c>
    </row>
    <row r="17" spans="1:9" ht="12.75" customHeight="1">
      <c r="A17" s="131">
        <f t="shared" si="1"/>
        <v>7.8999999999999995</v>
      </c>
      <c r="B17" s="132" t="s">
        <v>118</v>
      </c>
      <c r="C17" s="135" t="s">
        <v>135</v>
      </c>
      <c r="D17" s="134">
        <v>0.2</v>
      </c>
      <c r="F17" s="131">
        <f>F16+I16</f>
        <v>123.09999999999998</v>
      </c>
      <c r="G17" s="140" t="s">
        <v>111</v>
      </c>
      <c r="H17" s="141" t="s">
        <v>138</v>
      </c>
      <c r="I17" s="134">
        <v>17.9</v>
      </c>
    </row>
    <row r="18" spans="1:9" ht="12.75" customHeight="1">
      <c r="A18" s="131">
        <f t="shared" si="1"/>
        <v>8.1</v>
      </c>
      <c r="B18" s="132" t="s">
        <v>118</v>
      </c>
      <c r="C18" s="135" t="s">
        <v>135</v>
      </c>
      <c r="D18" s="134">
        <v>0.1</v>
      </c>
      <c r="F18" s="131">
        <f>F17+I17</f>
        <v>140.99999999999997</v>
      </c>
      <c r="G18" s="132" t="s">
        <v>115</v>
      </c>
      <c r="H18" s="135" t="s">
        <v>139</v>
      </c>
      <c r="I18" s="134">
        <v>5.5</v>
      </c>
    </row>
    <row r="19" spans="1:9" ht="12.75" customHeight="1">
      <c r="A19" s="131">
        <f t="shared" si="1"/>
        <v>8.2</v>
      </c>
      <c r="B19" s="132" t="s">
        <v>115</v>
      </c>
      <c r="C19" s="135" t="s">
        <v>140</v>
      </c>
      <c r="D19" s="134">
        <v>2.7</v>
      </c>
      <c r="F19" s="131">
        <f>F18+I18</f>
        <v>146.49999999999997</v>
      </c>
      <c r="G19" s="132" t="s">
        <v>111</v>
      </c>
      <c r="H19" s="135" t="s">
        <v>141</v>
      </c>
      <c r="I19" s="134">
        <v>10.9</v>
      </c>
    </row>
    <row r="20" spans="1:9" ht="12.75" customHeight="1">
      <c r="A20" s="131">
        <f t="shared" si="1"/>
        <v>10.899999999999999</v>
      </c>
      <c r="B20" s="132" t="s">
        <v>115</v>
      </c>
      <c r="C20" s="135" t="s">
        <v>142</v>
      </c>
      <c r="D20" s="134">
        <v>0.5</v>
      </c>
      <c r="F20" s="131">
        <f>F19+I19</f>
        <v>157.39999999999998</v>
      </c>
      <c r="G20" s="132" t="s">
        <v>118</v>
      </c>
      <c r="H20" s="145" t="s">
        <v>143</v>
      </c>
      <c r="I20" s="134">
        <v>0</v>
      </c>
    </row>
    <row r="21" spans="1:9" ht="12.75" customHeight="1">
      <c r="A21" s="131">
        <f t="shared" si="1"/>
        <v>11.399999999999999</v>
      </c>
      <c r="B21" s="132" t="s">
        <v>118</v>
      </c>
      <c r="C21" s="145" t="s">
        <v>144</v>
      </c>
      <c r="D21" s="134">
        <v>0.1</v>
      </c>
      <c r="F21" s="131"/>
      <c r="G21" s="132"/>
      <c r="H21" s="135"/>
      <c r="I21" s="134"/>
    </row>
    <row r="22" spans="1:9" ht="12.75" customHeight="1">
      <c r="A22" s="131">
        <f t="shared" si="1"/>
        <v>11.499999999999998</v>
      </c>
      <c r="B22" s="132" t="s">
        <v>115</v>
      </c>
      <c r="C22" s="145" t="s">
        <v>135</v>
      </c>
      <c r="D22" s="134">
        <v>0.2</v>
      </c>
      <c r="F22" s="146">
        <f>F20+I20</f>
        <v>157.39999999999998</v>
      </c>
      <c r="G22" s="137" t="s">
        <v>115</v>
      </c>
      <c r="H22" s="148" t="s">
        <v>145</v>
      </c>
      <c r="I22" s="149"/>
    </row>
    <row r="23" spans="1:9" ht="12.75" customHeight="1">
      <c r="A23" s="150">
        <f t="shared" si="1"/>
        <v>11.699999999999998</v>
      </c>
      <c r="B23" s="151" t="s">
        <v>115</v>
      </c>
      <c r="C23" s="152" t="s">
        <v>140</v>
      </c>
      <c r="D23" s="153">
        <v>0.7</v>
      </c>
      <c r="F23" s="150"/>
      <c r="G23" s="151"/>
      <c r="H23" s="154" t="s">
        <v>146</v>
      </c>
      <c r="I23" s="153"/>
    </row>
    <row r="24" spans="1:9" ht="4.5" customHeight="1">
      <c r="A24" s="155"/>
      <c r="B24" s="156"/>
      <c r="C24" s="157"/>
      <c r="D24" s="155"/>
      <c r="F24" s="155"/>
      <c r="G24" s="156"/>
      <c r="H24" s="157"/>
      <c r="I24" s="155"/>
    </row>
    <row r="25" spans="1:9" ht="58.5" customHeight="1">
      <c r="A25" s="127" t="s">
        <v>106</v>
      </c>
      <c r="B25" s="128" t="s">
        <v>107</v>
      </c>
      <c r="C25" s="129" t="s">
        <v>108</v>
      </c>
      <c r="D25" s="130" t="s">
        <v>109</v>
      </c>
      <c r="F25" s="127" t="s">
        <v>106</v>
      </c>
      <c r="G25" s="128" t="s">
        <v>107</v>
      </c>
      <c r="H25" s="129" t="s">
        <v>108</v>
      </c>
      <c r="I25" s="130" t="s">
        <v>109</v>
      </c>
    </row>
    <row r="26" spans="1:104" s="158" customFormat="1" ht="12.75" customHeight="1">
      <c r="A26" s="131">
        <f>F22</f>
        <v>157.39999999999998</v>
      </c>
      <c r="B26" s="132" t="s">
        <v>118</v>
      </c>
      <c r="C26" s="145" t="s">
        <v>147</v>
      </c>
      <c r="D26" s="134">
        <v>0</v>
      </c>
      <c r="E26"/>
      <c r="F26" s="131">
        <f>A43</f>
        <v>331.29999999999995</v>
      </c>
      <c r="G26" s="132" t="s">
        <v>115</v>
      </c>
      <c r="H26" s="135" t="s">
        <v>148</v>
      </c>
      <c r="I26" s="134">
        <v>65.5</v>
      </c>
      <c r="J26"/>
      <c r="K26" s="14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58" customFormat="1" ht="12.75" customHeight="1">
      <c r="A27" s="131">
        <f>A26+D26</f>
        <v>157.39999999999998</v>
      </c>
      <c r="B27" s="132" t="s">
        <v>118</v>
      </c>
      <c r="C27" s="139" t="s">
        <v>149</v>
      </c>
      <c r="D27" s="134">
        <v>59.5</v>
      </c>
      <c r="E27"/>
      <c r="F27" s="131">
        <f>F26+I26</f>
        <v>396.79999999999995</v>
      </c>
      <c r="G27" s="132" t="s">
        <v>118</v>
      </c>
      <c r="H27" s="159" t="s">
        <v>150</v>
      </c>
      <c r="I27" s="160">
        <v>0.4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58" customFormat="1" ht="12.75" customHeight="1">
      <c r="A28" s="131">
        <f>A27+D27</f>
        <v>216.89999999999998</v>
      </c>
      <c r="B28" s="132" t="s">
        <v>111</v>
      </c>
      <c r="C28" s="145" t="s">
        <v>151</v>
      </c>
      <c r="D28" s="134">
        <v>1.5</v>
      </c>
      <c r="E28"/>
      <c r="F28" s="131"/>
      <c r="G28" s="132"/>
      <c r="H28" s="135"/>
      <c r="I28" s="13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58" customFormat="1" ht="12.75" customHeight="1">
      <c r="A29" s="131">
        <f>A28+D28</f>
        <v>218.39999999999998</v>
      </c>
      <c r="B29" s="132" t="s">
        <v>115</v>
      </c>
      <c r="C29" s="145" t="s">
        <v>152</v>
      </c>
      <c r="D29" s="134">
        <v>0.3</v>
      </c>
      <c r="E29"/>
      <c r="F29" s="146">
        <f>F27+I27</f>
        <v>397.19999999999993</v>
      </c>
      <c r="G29" s="138" t="s">
        <v>118</v>
      </c>
      <c r="H29" s="138" t="s">
        <v>153</v>
      </c>
      <c r="I29" s="134"/>
      <c r="J29"/>
      <c r="K29" s="14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58" customFormat="1" ht="12.75" customHeight="1">
      <c r="A30" s="131">
        <f>A29+D29</f>
        <v>218.7</v>
      </c>
      <c r="B30" s="132" t="s">
        <v>118</v>
      </c>
      <c r="C30" s="145" t="s">
        <v>154</v>
      </c>
      <c r="D30" s="134">
        <v>1.6</v>
      </c>
      <c r="E30"/>
      <c r="F30" s="131"/>
      <c r="G30" s="132"/>
      <c r="H30" s="133" t="s">
        <v>155</v>
      </c>
      <c r="I30" s="134"/>
      <c r="J30"/>
      <c r="K30" s="14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58" customFormat="1" ht="12.75" customHeight="1">
      <c r="A31" s="131">
        <f>A30+D30</f>
        <v>220.29999999999998</v>
      </c>
      <c r="B31" s="132" t="s">
        <v>115</v>
      </c>
      <c r="C31" s="139" t="s">
        <v>156</v>
      </c>
      <c r="D31" s="134">
        <v>34.4</v>
      </c>
      <c r="E31"/>
      <c r="F31" s="131"/>
      <c r="G31" s="132"/>
      <c r="H31" s="139"/>
      <c r="I31" s="134"/>
      <c r="J31"/>
      <c r="K31" s="14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58" customFormat="1" ht="12.75" customHeight="1">
      <c r="A32" s="131"/>
      <c r="B32" s="132"/>
      <c r="C32" s="135" t="s">
        <v>157</v>
      </c>
      <c r="D32" s="134"/>
      <c r="E32"/>
      <c r="F32" s="131"/>
      <c r="G32" s="132" t="s">
        <v>158</v>
      </c>
      <c r="H32" s="161" t="s">
        <v>159</v>
      </c>
      <c r="I32" s="160">
        <v>0.4</v>
      </c>
      <c r="J32" s="144"/>
      <c r="K32" s="14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58" customFormat="1" ht="12.75" customHeight="1">
      <c r="A33" s="131">
        <f>A31+D31</f>
        <v>254.7</v>
      </c>
      <c r="B33" s="132" t="s">
        <v>111</v>
      </c>
      <c r="C33" s="135" t="s">
        <v>160</v>
      </c>
      <c r="D33" s="134">
        <v>3.4</v>
      </c>
      <c r="E33"/>
      <c r="F33" s="131">
        <f>F29+I32</f>
        <v>397.5999999999999</v>
      </c>
      <c r="G33" s="132" t="s">
        <v>118</v>
      </c>
      <c r="H33" s="135" t="s">
        <v>161</v>
      </c>
      <c r="I33" s="134">
        <v>64.1</v>
      </c>
      <c r="J33" s="144"/>
      <c r="K33" s="14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58" customFormat="1" ht="12.75" customHeight="1">
      <c r="A34" s="131"/>
      <c r="B34" s="132"/>
      <c r="C34" s="145"/>
      <c r="D34" s="134"/>
      <c r="E34"/>
      <c r="F34" s="131">
        <f>F33+I33</f>
        <v>461.69999999999993</v>
      </c>
      <c r="G34" s="132" t="s">
        <v>111</v>
      </c>
      <c r="H34" s="135" t="s">
        <v>162</v>
      </c>
      <c r="I34" s="134">
        <v>36.1</v>
      </c>
      <c r="J34"/>
      <c r="K34" s="14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58" customFormat="1" ht="12.75" customHeight="1">
      <c r="A35" s="146">
        <f>A33+D33</f>
        <v>258.09999999999997</v>
      </c>
      <c r="B35" s="138" t="s">
        <v>118</v>
      </c>
      <c r="C35" s="138" t="s">
        <v>163</v>
      </c>
      <c r="D35" s="134"/>
      <c r="E35"/>
      <c r="F35" s="131">
        <f>F34+I34</f>
        <v>497.79999999999995</v>
      </c>
      <c r="G35" s="132" t="s">
        <v>111</v>
      </c>
      <c r="H35" s="145" t="s">
        <v>164</v>
      </c>
      <c r="I35" s="134">
        <v>4.2</v>
      </c>
      <c r="J35"/>
      <c r="K35" s="14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58" customFormat="1" ht="12.75" customHeight="1">
      <c r="A36" s="131"/>
      <c r="B36" s="132"/>
      <c r="C36" s="138" t="s">
        <v>165</v>
      </c>
      <c r="D36" s="134"/>
      <c r="E36"/>
      <c r="F36" s="131">
        <f>F35+I35</f>
        <v>501.99999999999994</v>
      </c>
      <c r="G36" s="132" t="s">
        <v>115</v>
      </c>
      <c r="H36" s="162" t="s">
        <v>166</v>
      </c>
      <c r="I36" s="134">
        <v>0.2</v>
      </c>
      <c r="J36"/>
      <c r="K36" s="14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58" customFormat="1" ht="12.75" customHeight="1">
      <c r="A37" s="131"/>
      <c r="B37" s="132"/>
      <c r="C37" s="132"/>
      <c r="D37" s="134"/>
      <c r="E37"/>
      <c r="F37" s="131"/>
      <c r="G37" s="132"/>
      <c r="H37" s="145"/>
      <c r="I37" s="134"/>
      <c r="J37"/>
      <c r="K37" s="14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58" customFormat="1" ht="12.75" customHeight="1">
      <c r="A38" s="131"/>
      <c r="B38" s="132" t="s">
        <v>118</v>
      </c>
      <c r="C38" s="145" t="s">
        <v>167</v>
      </c>
      <c r="D38" s="134">
        <v>5.8</v>
      </c>
      <c r="E38"/>
      <c r="F38" s="146">
        <f>F36+I36</f>
        <v>502.19999999999993</v>
      </c>
      <c r="G38" s="138" t="s">
        <v>115</v>
      </c>
      <c r="H38" s="133" t="s">
        <v>168</v>
      </c>
      <c r="I38" s="134"/>
      <c r="J38"/>
      <c r="K38" s="14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58" customFormat="1" ht="12.75" customHeight="1">
      <c r="A39" s="131">
        <f>A35+D38</f>
        <v>263.9</v>
      </c>
      <c r="B39" s="132" t="s">
        <v>115</v>
      </c>
      <c r="C39" s="145" t="s">
        <v>169</v>
      </c>
      <c r="D39" s="134">
        <v>2.5</v>
      </c>
      <c r="E39"/>
      <c r="F39" s="131"/>
      <c r="G39" s="132"/>
      <c r="H39" s="133" t="s">
        <v>170</v>
      </c>
      <c r="I39" s="13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58" customFormat="1" ht="12.75" customHeight="1">
      <c r="A40" s="131">
        <f>A39+D39</f>
        <v>266.4</v>
      </c>
      <c r="B40" s="132" t="s">
        <v>115</v>
      </c>
      <c r="C40" s="135" t="s">
        <v>171</v>
      </c>
      <c r="D40" s="134">
        <v>0.7</v>
      </c>
      <c r="E40"/>
      <c r="F40" s="131"/>
      <c r="G40" s="132"/>
      <c r="H40" s="145"/>
      <c r="I40" s="134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58" customFormat="1" ht="12.75" customHeight="1">
      <c r="A41" s="131">
        <f>A40+D40</f>
        <v>267.09999999999997</v>
      </c>
      <c r="B41" s="132" t="s">
        <v>111</v>
      </c>
      <c r="C41" s="135" t="s">
        <v>172</v>
      </c>
      <c r="D41" s="134">
        <v>64.2</v>
      </c>
      <c r="E41"/>
      <c r="F41" s="131"/>
      <c r="G41" s="132"/>
      <c r="H41" s="145"/>
      <c r="I41" s="13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58" customFormat="1" ht="12.75" customHeight="1">
      <c r="A42" s="131"/>
      <c r="B42" s="132"/>
      <c r="C42" s="132"/>
      <c r="D42" s="134"/>
      <c r="E42"/>
      <c r="F42" s="131"/>
      <c r="G42" s="132"/>
      <c r="H42" s="135"/>
      <c r="I42" s="13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58" customFormat="1" ht="12.75" customHeight="1">
      <c r="A43" s="146">
        <f>A41+D41</f>
        <v>331.29999999999995</v>
      </c>
      <c r="B43" s="138" t="s">
        <v>115</v>
      </c>
      <c r="C43" s="137" t="s">
        <v>173</v>
      </c>
      <c r="D43" s="134"/>
      <c r="E43"/>
      <c r="F43" s="131"/>
      <c r="G43" s="132"/>
      <c r="H43" s="135"/>
      <c r="I43" s="134"/>
      <c r="J43"/>
      <c r="K43" s="14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58" customFormat="1" ht="12.75" customHeight="1">
      <c r="A44" s="131"/>
      <c r="B44" s="132"/>
      <c r="C44" s="163" t="s">
        <v>174</v>
      </c>
      <c r="D44" s="134"/>
      <c r="E44"/>
      <c r="F44" s="131"/>
      <c r="G44" s="132"/>
      <c r="H44" s="132"/>
      <c r="I44" s="134"/>
      <c r="J44"/>
      <c r="K44" s="1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58" customFormat="1" ht="12.75" customHeight="1">
      <c r="A45" s="146"/>
      <c r="B45" s="138"/>
      <c r="C45" s="137"/>
      <c r="D45" s="134"/>
      <c r="E45"/>
      <c r="F45" s="146"/>
      <c r="G45" s="138"/>
      <c r="H45" s="137"/>
      <c r="I45" s="13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58" customFormat="1" ht="12.75" customHeight="1">
      <c r="A46" s="131"/>
      <c r="B46" s="132"/>
      <c r="C46" s="163"/>
      <c r="D46" s="134"/>
      <c r="E46"/>
      <c r="F46" s="131"/>
      <c r="G46" s="132"/>
      <c r="H46" s="163"/>
      <c r="I46" s="13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 customHeight="1">
      <c r="A47" s="150"/>
      <c r="B47" s="151"/>
      <c r="C47" s="152"/>
      <c r="D47" s="153"/>
      <c r="F47" s="150"/>
      <c r="G47" s="151"/>
      <c r="H47" s="152"/>
      <c r="I47" s="153"/>
    </row>
    <row r="48" spans="2:7" ht="4.5" customHeight="1">
      <c r="B48" s="126"/>
      <c r="D48" s="126"/>
      <c r="F48" s="126"/>
      <c r="G48" s="126"/>
    </row>
    <row r="49" spans="1:9" ht="58.5" customHeight="1">
      <c r="A49" s="164" t="s">
        <v>175</v>
      </c>
      <c r="B49" s="165" t="s">
        <v>107</v>
      </c>
      <c r="C49" s="166" t="s">
        <v>176</v>
      </c>
      <c r="D49" s="167" t="s">
        <v>177</v>
      </c>
      <c r="F49" s="127" t="s">
        <v>106</v>
      </c>
      <c r="G49" s="128" t="s">
        <v>107</v>
      </c>
      <c r="H49" s="129" t="s">
        <v>108</v>
      </c>
      <c r="I49" s="130" t="s">
        <v>109</v>
      </c>
    </row>
    <row r="50" spans="1:104" s="158" customFormat="1" ht="12.75" customHeight="1">
      <c r="A50" s="131">
        <f>F38</f>
        <v>502.19999999999993</v>
      </c>
      <c r="B50" s="132" t="s">
        <v>118</v>
      </c>
      <c r="C50" s="141" t="s">
        <v>178</v>
      </c>
      <c r="D50" s="134">
        <v>0.2</v>
      </c>
      <c r="E50"/>
      <c r="F50" s="131">
        <f>A69</f>
        <v>746.1999999999999</v>
      </c>
      <c r="G50" s="136" t="s">
        <v>115</v>
      </c>
      <c r="H50" s="139" t="s">
        <v>179</v>
      </c>
      <c r="I50" s="134">
        <v>3.4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1:104" s="158" customFormat="1" ht="12.75" customHeight="1">
      <c r="A51" s="131">
        <f>A50+D50</f>
        <v>502.3999999999999</v>
      </c>
      <c r="B51" s="132" t="s">
        <v>118</v>
      </c>
      <c r="C51" s="141" t="s">
        <v>180</v>
      </c>
      <c r="D51" s="134">
        <v>4.2</v>
      </c>
      <c r="E51"/>
      <c r="F51" s="131"/>
      <c r="G51" s="136"/>
      <c r="H51" s="139" t="s">
        <v>181</v>
      </c>
      <c r="I51" s="13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04" s="158" customFormat="1" ht="12.75" customHeight="1">
      <c r="A52" s="131">
        <f>A51+D51</f>
        <v>506.5999999999999</v>
      </c>
      <c r="B52" s="132" t="s">
        <v>111</v>
      </c>
      <c r="C52" s="141" t="s">
        <v>138</v>
      </c>
      <c r="D52" s="134">
        <v>36.1</v>
      </c>
      <c r="E52"/>
      <c r="F52" s="131">
        <f>F50+I50</f>
        <v>749.5999999999999</v>
      </c>
      <c r="G52" s="136" t="s">
        <v>111</v>
      </c>
      <c r="H52" s="145" t="s">
        <v>182</v>
      </c>
      <c r="I52" s="134">
        <v>34.4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1:104" s="158" customFormat="1" ht="12.75" customHeight="1">
      <c r="A53" s="131">
        <f>A52+D52</f>
        <v>542.6999999999999</v>
      </c>
      <c r="B53" s="132" t="s">
        <v>111</v>
      </c>
      <c r="C53" s="135" t="s">
        <v>183</v>
      </c>
      <c r="D53" s="134">
        <v>64.1</v>
      </c>
      <c r="E53"/>
      <c r="F53" s="131">
        <f>F52+I52</f>
        <v>783.9999999999999</v>
      </c>
      <c r="G53" s="132" t="s">
        <v>118</v>
      </c>
      <c r="H53" s="168" t="s">
        <v>154</v>
      </c>
      <c r="I53" s="134">
        <v>1.6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</row>
    <row r="54" spans="1:104" s="158" customFormat="1" ht="12.75" customHeight="1">
      <c r="A54" s="131">
        <f>A53+D53</f>
        <v>606.8</v>
      </c>
      <c r="B54" s="132" t="s">
        <v>115</v>
      </c>
      <c r="C54" s="169" t="s">
        <v>184</v>
      </c>
      <c r="D54" s="160">
        <v>0.4</v>
      </c>
      <c r="E54"/>
      <c r="F54" s="131">
        <f>F53+I53</f>
        <v>785.5999999999999</v>
      </c>
      <c r="G54" s="170" t="s">
        <v>115</v>
      </c>
      <c r="H54" s="168" t="s">
        <v>152</v>
      </c>
      <c r="I54" s="171">
        <v>0.3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</row>
    <row r="55" spans="1:104" s="158" customFormat="1" ht="12.75" customHeight="1">
      <c r="A55" s="131"/>
      <c r="B55" s="132"/>
      <c r="C55" s="145"/>
      <c r="D55" s="134"/>
      <c r="E55"/>
      <c r="F55" s="131">
        <f>F54+I54</f>
        <v>785.8999999999999</v>
      </c>
      <c r="G55" s="147" t="s">
        <v>118</v>
      </c>
      <c r="H55" s="145" t="s">
        <v>185</v>
      </c>
      <c r="I55" s="134">
        <v>1.5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</row>
    <row r="56" spans="1:104" s="158" customFormat="1" ht="12.75" customHeight="1">
      <c r="A56" s="146">
        <f>A54+D54</f>
        <v>607.1999999999999</v>
      </c>
      <c r="B56" s="132" t="s">
        <v>118</v>
      </c>
      <c r="C56" s="138" t="s">
        <v>186</v>
      </c>
      <c r="D56" s="134"/>
      <c r="E56"/>
      <c r="F56" s="131">
        <f>F55+I55</f>
        <v>787.3999999999999</v>
      </c>
      <c r="G56" s="147" t="s">
        <v>111</v>
      </c>
      <c r="H56" s="145" t="s">
        <v>151</v>
      </c>
      <c r="I56" s="134">
        <v>59.5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</row>
    <row r="57" spans="1:104" s="158" customFormat="1" ht="12.75" customHeight="1">
      <c r="A57" s="131"/>
      <c r="B57" s="132"/>
      <c r="C57" s="133" t="s">
        <v>155</v>
      </c>
      <c r="D57" s="134"/>
      <c r="E57"/>
      <c r="F57" s="131"/>
      <c r="G57" s="132"/>
      <c r="H57" s="139"/>
      <c r="I57" s="134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</row>
    <row r="58" spans="1:104" s="158" customFormat="1" ht="12.75" customHeight="1">
      <c r="A58" s="131"/>
      <c r="B58" s="132"/>
      <c r="C58" s="139"/>
      <c r="D58" s="134"/>
      <c r="E58"/>
      <c r="F58" s="146">
        <f>F56+I56</f>
        <v>846.8999999999999</v>
      </c>
      <c r="G58" s="137" t="s">
        <v>115</v>
      </c>
      <c r="H58" s="148" t="s">
        <v>187</v>
      </c>
      <c r="I58" s="13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</row>
    <row r="59" spans="1:104" s="158" customFormat="1" ht="12.75" customHeight="1">
      <c r="A59" s="131"/>
      <c r="B59" s="132" t="s">
        <v>158</v>
      </c>
      <c r="C59" s="161" t="s">
        <v>159</v>
      </c>
      <c r="D59" s="160">
        <v>0.4</v>
      </c>
      <c r="E59"/>
      <c r="F59" s="131"/>
      <c r="G59" s="132"/>
      <c r="H59" s="133" t="s">
        <v>146</v>
      </c>
      <c r="I59" s="13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</row>
    <row r="60" spans="1:104" s="158" customFormat="1" ht="12.75" customHeight="1">
      <c r="A60" s="131">
        <f>A56+D59</f>
        <v>607.5999999999999</v>
      </c>
      <c r="B60" s="132" t="s">
        <v>115</v>
      </c>
      <c r="C60" s="141" t="s">
        <v>188</v>
      </c>
      <c r="D60" s="134">
        <v>65.5</v>
      </c>
      <c r="E60"/>
      <c r="F60" s="131"/>
      <c r="G60" s="132"/>
      <c r="H60" s="135"/>
      <c r="I60" s="134"/>
      <c r="J60"/>
      <c r="K60" s="14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</row>
    <row r="61" spans="1:104" s="158" customFormat="1" ht="12.75" customHeight="1">
      <c r="A61" s="131"/>
      <c r="B61" s="132"/>
      <c r="C61" s="141"/>
      <c r="D61" s="134"/>
      <c r="E61"/>
      <c r="F61" s="131"/>
      <c r="G61" s="132" t="s">
        <v>115</v>
      </c>
      <c r="H61" s="139" t="s">
        <v>189</v>
      </c>
      <c r="I61" s="134">
        <v>10.9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</row>
    <row r="62" spans="1:104" s="158" customFormat="1" ht="12.75" customHeight="1">
      <c r="A62" s="146">
        <f>A60+D60</f>
        <v>673.0999999999999</v>
      </c>
      <c r="B62" s="138" t="s">
        <v>118</v>
      </c>
      <c r="C62" s="138" t="s">
        <v>190</v>
      </c>
      <c r="D62" s="134"/>
      <c r="E62"/>
      <c r="F62" s="131">
        <f>F58+I61</f>
        <v>857.7999999999998</v>
      </c>
      <c r="G62" s="132" t="s">
        <v>111</v>
      </c>
      <c r="H62" s="135" t="s">
        <v>191</v>
      </c>
      <c r="I62" s="134">
        <v>5.5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</row>
    <row r="63" spans="1:104" s="158" customFormat="1" ht="12.75" customHeight="1">
      <c r="A63" s="131"/>
      <c r="B63" s="132"/>
      <c r="C63" s="138" t="s">
        <v>174</v>
      </c>
      <c r="D63" s="134"/>
      <c r="E63"/>
      <c r="F63" s="131">
        <f>F62+I62</f>
        <v>863.2999999999998</v>
      </c>
      <c r="G63" s="132" t="s">
        <v>115</v>
      </c>
      <c r="H63" s="135" t="s">
        <v>192</v>
      </c>
      <c r="I63" s="134">
        <v>17.9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</row>
    <row r="64" spans="1:104" s="158" customFormat="1" ht="12.75" customHeight="1">
      <c r="A64" s="131"/>
      <c r="B64" s="132"/>
      <c r="C64" s="133"/>
      <c r="D64" s="134"/>
      <c r="E64"/>
      <c r="F64" s="131">
        <f>F63+I63</f>
        <v>881.1999999999998</v>
      </c>
      <c r="G64" s="132" t="s">
        <v>115</v>
      </c>
      <c r="H64" s="145" t="s">
        <v>193</v>
      </c>
      <c r="I64" s="134">
        <v>0.7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</row>
    <row r="65" spans="1:104" s="158" customFormat="1" ht="12.75" customHeight="1">
      <c r="A65" s="131"/>
      <c r="B65" s="132" t="s">
        <v>118</v>
      </c>
      <c r="C65" s="135" t="s">
        <v>138</v>
      </c>
      <c r="D65" s="134">
        <v>64.7</v>
      </c>
      <c r="E65"/>
      <c r="F65" s="131">
        <f>F64+I64</f>
        <v>881.8999999999999</v>
      </c>
      <c r="G65" s="132" t="s">
        <v>111</v>
      </c>
      <c r="H65" s="145" t="s">
        <v>194</v>
      </c>
      <c r="I65" s="134">
        <v>10.5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</row>
    <row r="66" spans="1:104" s="158" customFormat="1" ht="12.75" customHeight="1">
      <c r="A66" s="131">
        <f>A62+D65</f>
        <v>737.8</v>
      </c>
      <c r="B66" s="132" t="s">
        <v>118</v>
      </c>
      <c r="C66" s="135" t="s">
        <v>195</v>
      </c>
      <c r="D66" s="134">
        <v>2.6</v>
      </c>
      <c r="E66"/>
      <c r="F66" s="131">
        <f>F65+I65</f>
        <v>892.3999999999999</v>
      </c>
      <c r="G66" s="132" t="s">
        <v>111</v>
      </c>
      <c r="H66" s="141" t="s">
        <v>196</v>
      </c>
      <c r="I66" s="134">
        <v>0.8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</row>
    <row r="67" spans="1:104" s="158" customFormat="1" ht="12.75" customHeight="1">
      <c r="A67" s="131">
        <f>A66+D66</f>
        <v>740.4</v>
      </c>
      <c r="B67" s="132" t="s">
        <v>118</v>
      </c>
      <c r="C67" s="135" t="s">
        <v>197</v>
      </c>
      <c r="D67" s="134">
        <v>5.8</v>
      </c>
      <c r="E67"/>
      <c r="F67" s="131"/>
      <c r="G67" s="132"/>
      <c r="H67" s="162"/>
      <c r="I67" s="13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</row>
    <row r="68" spans="1:104" s="158" customFormat="1" ht="12.75" customHeight="1">
      <c r="A68" s="131"/>
      <c r="B68" s="132"/>
      <c r="C68" s="135"/>
      <c r="D68" s="134"/>
      <c r="E68"/>
      <c r="F68" s="146">
        <f>F66+I66</f>
        <v>893.1999999999998</v>
      </c>
      <c r="G68" s="137" t="s">
        <v>115</v>
      </c>
      <c r="H68" s="172" t="s">
        <v>198</v>
      </c>
      <c r="I68" s="13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</row>
    <row r="69" spans="1:104" s="158" customFormat="1" ht="12.75" customHeight="1">
      <c r="A69" s="146">
        <f>A67+D67</f>
        <v>746.1999999999999</v>
      </c>
      <c r="B69" s="138" t="s">
        <v>115</v>
      </c>
      <c r="C69" s="138" t="s">
        <v>199</v>
      </c>
      <c r="D69" s="134"/>
      <c r="E69"/>
      <c r="F69" s="131"/>
      <c r="G69" s="132"/>
      <c r="H69" s="148" t="s">
        <v>131</v>
      </c>
      <c r="I69" s="13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</row>
    <row r="70" spans="1:104" s="158" customFormat="1" ht="12.75" customHeight="1">
      <c r="A70" s="131"/>
      <c r="B70" s="132"/>
      <c r="C70" s="133" t="s">
        <v>165</v>
      </c>
      <c r="D70" s="134"/>
      <c r="E70"/>
      <c r="F70" s="131"/>
      <c r="G70" s="132"/>
      <c r="H70" s="145"/>
      <c r="I70" s="134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</row>
    <row r="71" spans="1:9" ht="12.75" customHeight="1">
      <c r="A71" s="150"/>
      <c r="B71" s="151"/>
      <c r="C71" s="154"/>
      <c r="D71" s="153"/>
      <c r="F71" s="150"/>
      <c r="G71" s="151"/>
      <c r="H71" s="152"/>
      <c r="I71" s="153"/>
    </row>
    <row r="72" ht="4.5" customHeight="1"/>
    <row r="73" spans="1:9" ht="58.5" customHeight="1">
      <c r="A73" s="127" t="s">
        <v>106</v>
      </c>
      <c r="B73" s="128" t="s">
        <v>107</v>
      </c>
      <c r="C73" s="129" t="s">
        <v>108</v>
      </c>
      <c r="D73" s="130" t="s">
        <v>109</v>
      </c>
      <c r="F73" s="127" t="s">
        <v>106</v>
      </c>
      <c r="G73" s="128" t="s">
        <v>107</v>
      </c>
      <c r="H73" s="129" t="s">
        <v>108</v>
      </c>
      <c r="I73" s="130" t="s">
        <v>109</v>
      </c>
    </row>
    <row r="74" spans="1:104" s="158" customFormat="1" ht="12.75" customHeight="1">
      <c r="A74" s="131">
        <f>F68+I68</f>
        <v>893.1999999999998</v>
      </c>
      <c r="B74" s="136" t="s">
        <v>115</v>
      </c>
      <c r="C74" s="173" t="s">
        <v>200</v>
      </c>
      <c r="D74" s="134">
        <v>0.5</v>
      </c>
      <c r="E74"/>
      <c r="F74" s="131">
        <f>A95+D95</f>
        <v>999.4000000000001</v>
      </c>
      <c r="G74" s="132" t="s">
        <v>111</v>
      </c>
      <c r="H74" s="135" t="s">
        <v>201</v>
      </c>
      <c r="I74" s="134">
        <v>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</row>
    <row r="75" spans="1:104" s="158" customFormat="1" ht="12.75" customHeight="1">
      <c r="A75" s="131">
        <f>A74+D74</f>
        <v>893.6999999999998</v>
      </c>
      <c r="B75" s="132" t="s">
        <v>111</v>
      </c>
      <c r="C75" s="141" t="s">
        <v>202</v>
      </c>
      <c r="D75" s="134">
        <v>1</v>
      </c>
      <c r="E75"/>
      <c r="F75" s="131">
        <f>F74+I74</f>
        <v>1001.4000000000001</v>
      </c>
      <c r="G75" s="132" t="s">
        <v>115</v>
      </c>
      <c r="H75" s="135" t="s">
        <v>203</v>
      </c>
      <c r="I75" s="134">
        <v>0.2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</row>
    <row r="76" spans="1:104" s="158" customFormat="1" ht="12.75" customHeight="1">
      <c r="A76" s="131">
        <f>A75+D75</f>
        <v>894.6999999999998</v>
      </c>
      <c r="B76" s="132" t="s">
        <v>111</v>
      </c>
      <c r="C76" s="141" t="s">
        <v>204</v>
      </c>
      <c r="D76" s="134">
        <v>1.6</v>
      </c>
      <c r="E76"/>
      <c r="F76" s="131">
        <f>F75+I75</f>
        <v>1001.6000000000001</v>
      </c>
      <c r="G76" s="132" t="s">
        <v>115</v>
      </c>
      <c r="H76" s="135" t="s">
        <v>205</v>
      </c>
      <c r="I76" s="134">
        <v>0.4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</row>
    <row r="77" spans="1:104" s="158" customFormat="1" ht="12.75" customHeight="1">
      <c r="A77" s="131">
        <f aca="true" t="shared" si="2" ref="A77:A95">A76+D76</f>
        <v>896.2999999999998</v>
      </c>
      <c r="B77" s="136" t="s">
        <v>111</v>
      </c>
      <c r="C77" s="174" t="s">
        <v>206</v>
      </c>
      <c r="D77" s="134">
        <v>3.5</v>
      </c>
      <c r="E77"/>
      <c r="F77" s="131"/>
      <c r="G77" s="132"/>
      <c r="H77" s="145" t="s">
        <v>207</v>
      </c>
      <c r="I77" s="13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</row>
    <row r="78" spans="1:104" s="158" customFormat="1" ht="12.75" customHeight="1">
      <c r="A78" s="131">
        <f t="shared" si="2"/>
        <v>899.7999999999998</v>
      </c>
      <c r="B78" s="132" t="s">
        <v>111</v>
      </c>
      <c r="C78" s="145" t="s">
        <v>208</v>
      </c>
      <c r="D78" s="134">
        <v>1.6</v>
      </c>
      <c r="E78"/>
      <c r="F78" s="131">
        <f>F76+I76</f>
        <v>1002.0000000000001</v>
      </c>
      <c r="G78" s="132" t="s">
        <v>111</v>
      </c>
      <c r="H78" s="135" t="s">
        <v>209</v>
      </c>
      <c r="I78" s="134">
        <v>0.8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</row>
    <row r="79" spans="1:104" s="158" customFormat="1" ht="12.75" customHeight="1">
      <c r="A79" s="131">
        <f t="shared" si="2"/>
        <v>901.3999999999999</v>
      </c>
      <c r="B79" s="132" t="s">
        <v>111</v>
      </c>
      <c r="C79" s="145" t="s">
        <v>210</v>
      </c>
      <c r="D79" s="134">
        <v>17</v>
      </c>
      <c r="E79"/>
      <c r="F79" s="131">
        <f>F78+I78</f>
        <v>1002.8000000000001</v>
      </c>
      <c r="G79" s="132" t="s">
        <v>111</v>
      </c>
      <c r="H79" s="135" t="s">
        <v>211</v>
      </c>
      <c r="I79" s="134">
        <v>1.4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</row>
    <row r="80" spans="1:104" s="158" customFormat="1" ht="12.75" customHeight="1">
      <c r="A80" s="131">
        <f t="shared" si="2"/>
        <v>918.3999999999999</v>
      </c>
      <c r="B80" s="132" t="s">
        <v>111</v>
      </c>
      <c r="C80" s="135" t="s">
        <v>212</v>
      </c>
      <c r="D80" s="134">
        <v>27.5</v>
      </c>
      <c r="E80"/>
      <c r="F80" s="131">
        <f>F79+I79</f>
        <v>1004.2</v>
      </c>
      <c r="G80" s="132" t="s">
        <v>115</v>
      </c>
      <c r="H80" s="145" t="s">
        <v>213</v>
      </c>
      <c r="I80" s="134">
        <v>0.3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</row>
    <row r="81" spans="1:104" s="158" customFormat="1" ht="12.75" customHeight="1">
      <c r="A81" s="131">
        <f t="shared" si="2"/>
        <v>945.8999999999999</v>
      </c>
      <c r="B81" s="175" t="s">
        <v>111</v>
      </c>
      <c r="C81" s="141" t="s">
        <v>214</v>
      </c>
      <c r="D81" s="176">
        <v>46.7</v>
      </c>
      <c r="E81"/>
      <c r="F81" s="131"/>
      <c r="G81" s="132"/>
      <c r="H81" s="177"/>
      <c r="I81" s="134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</row>
    <row r="82" spans="1:104" s="158" customFormat="1" ht="12.75" customHeight="1">
      <c r="A82" s="131">
        <f t="shared" si="2"/>
        <v>992.5999999999999</v>
      </c>
      <c r="B82" s="132" t="s">
        <v>111</v>
      </c>
      <c r="C82" s="145" t="s">
        <v>112</v>
      </c>
      <c r="D82" s="134">
        <v>1.2</v>
      </c>
      <c r="E82"/>
      <c r="F82" s="146">
        <f>F80+I80</f>
        <v>1004.5</v>
      </c>
      <c r="G82" s="138" t="s">
        <v>118</v>
      </c>
      <c r="H82" s="138" t="s">
        <v>215</v>
      </c>
      <c r="I82" s="149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</row>
    <row r="83" spans="1:104" s="158" customFormat="1" ht="12.75" customHeight="1">
      <c r="A83" s="131">
        <f t="shared" si="2"/>
        <v>993.8</v>
      </c>
      <c r="B83" s="132" t="s">
        <v>115</v>
      </c>
      <c r="C83" s="135" t="s">
        <v>216</v>
      </c>
      <c r="D83" s="134">
        <v>0.1</v>
      </c>
      <c r="E83"/>
      <c r="F83" s="146"/>
      <c r="G83" s="138"/>
      <c r="H83" s="137" t="s">
        <v>22</v>
      </c>
      <c r="I83" s="149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</row>
    <row r="84" spans="1:104" s="158" customFormat="1" ht="12.75" customHeight="1">
      <c r="A84" s="131">
        <f t="shared" si="2"/>
        <v>993.9</v>
      </c>
      <c r="B84" s="132" t="s">
        <v>111</v>
      </c>
      <c r="C84" s="135" t="s">
        <v>217</v>
      </c>
      <c r="D84" s="134">
        <v>0</v>
      </c>
      <c r="E84"/>
      <c r="F84" s="131"/>
      <c r="G84" s="132"/>
      <c r="H84" s="145"/>
      <c r="I84" s="134"/>
      <c r="J84"/>
      <c r="K84" s="14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</row>
    <row r="85" spans="1:104" s="158" customFormat="1" ht="12.75" customHeight="1">
      <c r="A85" s="131">
        <f t="shared" si="2"/>
        <v>993.9</v>
      </c>
      <c r="B85" s="132" t="s">
        <v>118</v>
      </c>
      <c r="C85" s="135" t="s">
        <v>216</v>
      </c>
      <c r="D85" s="134">
        <v>0.1</v>
      </c>
      <c r="E85"/>
      <c r="F85" s="131"/>
      <c r="G85" s="132"/>
      <c r="H85" s="135"/>
      <c r="I85" s="134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</row>
    <row r="86" spans="1:104" s="158" customFormat="1" ht="12.75" customHeight="1">
      <c r="A86" s="131">
        <f t="shared" si="2"/>
        <v>994</v>
      </c>
      <c r="B86" s="132" t="s">
        <v>111</v>
      </c>
      <c r="C86" s="135" t="s">
        <v>201</v>
      </c>
      <c r="D86" s="134">
        <v>3</v>
      </c>
      <c r="E86"/>
      <c r="F86" s="131"/>
      <c r="G86" s="132"/>
      <c r="H86" s="135"/>
      <c r="I86" s="13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</row>
    <row r="87" spans="1:104" s="158" customFormat="1" ht="12.75" customHeight="1">
      <c r="A87" s="131">
        <f t="shared" si="2"/>
        <v>997</v>
      </c>
      <c r="B87" s="132" t="s">
        <v>115</v>
      </c>
      <c r="C87" s="145" t="s">
        <v>216</v>
      </c>
      <c r="D87" s="134">
        <v>0.2</v>
      </c>
      <c r="E87"/>
      <c r="F87" s="131"/>
      <c r="G87" s="132"/>
      <c r="H87" s="145"/>
      <c r="I87" s="13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</row>
    <row r="88" spans="1:104" s="158" customFormat="1" ht="12.75" customHeight="1">
      <c r="A88" s="131">
        <f t="shared" si="2"/>
        <v>997.2</v>
      </c>
      <c r="B88" s="132" t="s">
        <v>118</v>
      </c>
      <c r="C88" s="145" t="s">
        <v>218</v>
      </c>
      <c r="D88" s="134">
        <v>0</v>
      </c>
      <c r="E88"/>
      <c r="F88" s="131"/>
      <c r="G88" s="132"/>
      <c r="H88" s="145"/>
      <c r="I88" s="134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</row>
    <row r="89" spans="1:104" s="158" customFormat="1" ht="12.75" customHeight="1">
      <c r="A89" s="131">
        <f t="shared" si="2"/>
        <v>997.2</v>
      </c>
      <c r="B89" s="132" t="s">
        <v>118</v>
      </c>
      <c r="C89" s="145" t="s">
        <v>216</v>
      </c>
      <c r="D89" s="134">
        <v>0</v>
      </c>
      <c r="E89"/>
      <c r="F89" s="131"/>
      <c r="G89" s="132"/>
      <c r="H89" s="135"/>
      <c r="I89" s="134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</row>
    <row r="90" spans="1:104" s="158" customFormat="1" ht="12.75" customHeight="1">
      <c r="A90" s="131">
        <f t="shared" si="2"/>
        <v>997.2</v>
      </c>
      <c r="B90" s="132" t="s">
        <v>115</v>
      </c>
      <c r="C90" s="135" t="s">
        <v>216</v>
      </c>
      <c r="D90" s="134">
        <v>0.2</v>
      </c>
      <c r="E90"/>
      <c r="F90" s="131"/>
      <c r="G90" s="132"/>
      <c r="H90" s="135"/>
      <c r="I90" s="134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</row>
    <row r="91" spans="1:104" s="158" customFormat="1" ht="12.75" customHeight="1">
      <c r="A91" s="131">
        <f t="shared" si="2"/>
        <v>997.4000000000001</v>
      </c>
      <c r="B91" s="132" t="s">
        <v>111</v>
      </c>
      <c r="C91" s="145" t="s">
        <v>219</v>
      </c>
      <c r="D91" s="134">
        <v>0</v>
      </c>
      <c r="E91"/>
      <c r="F91" s="131"/>
      <c r="G91" s="132"/>
      <c r="H91" s="135"/>
      <c r="I91" s="134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</row>
    <row r="92" spans="1:104" s="158" customFormat="1" ht="12.75" customHeight="1">
      <c r="A92" s="131">
        <f t="shared" si="2"/>
        <v>997.4000000000001</v>
      </c>
      <c r="B92" s="132" t="s">
        <v>118</v>
      </c>
      <c r="C92" s="145" t="s">
        <v>216</v>
      </c>
      <c r="D92" s="134">
        <v>0.2</v>
      </c>
      <c r="E92"/>
      <c r="F92" s="146"/>
      <c r="G92" s="138"/>
      <c r="H92" s="178"/>
      <c r="I92" s="13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</row>
    <row r="93" spans="1:104" s="158" customFormat="1" ht="12.75" customHeight="1">
      <c r="A93" s="131">
        <f t="shared" si="2"/>
        <v>997.6000000000001</v>
      </c>
      <c r="B93" s="132" t="s">
        <v>111</v>
      </c>
      <c r="C93" s="135" t="s">
        <v>201</v>
      </c>
      <c r="D93" s="134">
        <v>0.9</v>
      </c>
      <c r="E93"/>
      <c r="F93" s="131"/>
      <c r="G93" s="132"/>
      <c r="H93" s="148"/>
      <c r="I93" s="13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04" s="158" customFormat="1" ht="12.75" customHeight="1">
      <c r="A94" s="131">
        <f t="shared" si="2"/>
        <v>998.5000000000001</v>
      </c>
      <c r="B94" s="132" t="s">
        <v>115</v>
      </c>
      <c r="C94" s="135" t="s">
        <v>220</v>
      </c>
      <c r="D94" s="134">
        <v>0.5</v>
      </c>
      <c r="E94"/>
      <c r="F94" s="131"/>
      <c r="G94" s="132"/>
      <c r="H94" s="145"/>
      <c r="I94" s="13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</row>
    <row r="95" spans="1:9" ht="12.75" customHeight="1">
      <c r="A95" s="150">
        <f t="shared" si="2"/>
        <v>999.0000000000001</v>
      </c>
      <c r="B95" s="151" t="s">
        <v>111</v>
      </c>
      <c r="C95" s="152" t="s">
        <v>128</v>
      </c>
      <c r="D95" s="153">
        <v>0.4</v>
      </c>
      <c r="F95" s="150"/>
      <c r="G95" s="151"/>
      <c r="H95" s="179" t="s">
        <v>221</v>
      </c>
      <c r="I95" s="153"/>
    </row>
    <row r="96" ht="4.5" customHeight="1"/>
  </sheetData>
  <sheetProtection selectLockedCells="1" selectUnlockedCells="1"/>
  <printOptions horizontalCentered="1" verticalCentered="1"/>
  <pageMargins left="0.3541666666666667" right="0.3541666666666667" top="0.5513888888888889" bottom="0.5513888888888889" header="0.2361111111111111" footer="0.2361111111111111"/>
  <pageSetup horizontalDpi="300" verticalDpi="300" orientation="portrait"/>
  <headerFooter alignWithMargins="0">
    <oddHeader>&amp;L&amp;8&amp;A&amp;C&amp;"Arial,Bold" Island 1000km BREVET&amp;R&amp;8Page &amp;P of &amp;N</oddHeader>
    <oddFooter>&amp;L&amp;8L = Left
SO = Straight On 
R = Right&amp;CBC Randonneurs Cycling Club
&amp;8Affiliated with &amp;"Arial,Italic"Cycling BC
&amp;"Arial,Regular"Founding member of&amp;"Arial,Italic" Les Randonneurs Mondiaux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84"/>
  <sheetViews>
    <sheetView showGridLines="0" workbookViewId="0" topLeftCell="A2">
      <selection activeCell="C96" sqref="C96"/>
    </sheetView>
  </sheetViews>
  <sheetFormatPr defaultColWidth="9.140625" defaultRowHeight="12.75"/>
  <cols>
    <col min="1" max="1" width="6.57421875" style="0" customWidth="1"/>
    <col min="2" max="2" width="3.28125" style="0" customWidth="1"/>
    <col min="3" max="3" width="30.8515625" style="0" customWidth="1"/>
    <col min="4" max="4" width="6.57421875" style="0" customWidth="1"/>
    <col min="5" max="5" width="16.8515625" style="1" customWidth="1"/>
  </cols>
  <sheetData>
    <row r="1" spans="1:4" ht="60.75">
      <c r="A1" s="127" t="s">
        <v>106</v>
      </c>
      <c r="B1" s="128" t="s">
        <v>107</v>
      </c>
      <c r="C1" s="129" t="s">
        <v>108</v>
      </c>
      <c r="D1" s="130" t="s">
        <v>109</v>
      </c>
    </row>
    <row r="2" spans="1:5" ht="12.75">
      <c r="A2" s="131"/>
      <c r="B2" s="132"/>
      <c r="C2" s="133" t="s">
        <v>222</v>
      </c>
      <c r="D2" s="134"/>
      <c r="E2" s="180" t="s">
        <v>223</v>
      </c>
    </row>
    <row r="3" spans="1:5" ht="12.75">
      <c r="A3" s="131"/>
      <c r="B3" s="136"/>
      <c r="C3" s="137" t="s">
        <v>224</v>
      </c>
      <c r="D3" s="134"/>
      <c r="E3" s="180" t="s">
        <v>225</v>
      </c>
    </row>
    <row r="4" spans="1:5" ht="12.75">
      <c r="A4" s="131"/>
      <c r="B4" s="132"/>
      <c r="C4" s="138"/>
      <c r="D4" s="134"/>
      <c r="E4" s="180" t="s">
        <v>226</v>
      </c>
    </row>
    <row r="5" spans="1:5" ht="12.75">
      <c r="A5" s="131"/>
      <c r="B5" s="132"/>
      <c r="C5" s="139"/>
      <c r="D5" s="134"/>
      <c r="E5" s="180" t="s">
        <v>227</v>
      </c>
    </row>
    <row r="6" spans="1:5" ht="12.75">
      <c r="A6" s="131"/>
      <c r="B6" s="132" t="s">
        <v>115</v>
      </c>
      <c r="C6" s="135" t="s">
        <v>228</v>
      </c>
      <c r="D6" s="134">
        <v>0.3</v>
      </c>
      <c r="E6" s="180" t="s">
        <v>229</v>
      </c>
    </row>
    <row r="7" spans="1:5" ht="12.75">
      <c r="A7" s="131">
        <f>A3+D6</f>
        <v>0.3</v>
      </c>
      <c r="B7" s="132" t="s">
        <v>111</v>
      </c>
      <c r="C7" s="135" t="s">
        <v>230</v>
      </c>
      <c r="D7" s="134">
        <v>3.8</v>
      </c>
      <c r="E7" s="180" t="s">
        <v>231</v>
      </c>
    </row>
    <row r="8" spans="1:5" ht="12.75">
      <c r="A8" s="131">
        <f>A7+D7</f>
        <v>4.1</v>
      </c>
      <c r="B8" s="132" t="s">
        <v>115</v>
      </c>
      <c r="C8" s="135" t="s">
        <v>127</v>
      </c>
      <c r="D8" s="134">
        <v>0.5</v>
      </c>
      <c r="E8" s="180" t="s">
        <v>232</v>
      </c>
    </row>
    <row r="9" spans="1:5" ht="12.75">
      <c r="A9" s="131">
        <f aca="true" t="shared" si="0" ref="A9:A22">A8+D8</f>
        <v>4.6</v>
      </c>
      <c r="B9" s="132" t="s">
        <v>111</v>
      </c>
      <c r="C9" s="135" t="s">
        <v>128</v>
      </c>
      <c r="D9" s="134">
        <v>0.3</v>
      </c>
      <c r="E9" s="180" t="s">
        <v>233</v>
      </c>
    </row>
    <row r="10" spans="1:5" ht="12.75">
      <c r="A10" s="131">
        <f t="shared" si="0"/>
        <v>4.8999999999999995</v>
      </c>
      <c r="B10" s="132" t="s">
        <v>111</v>
      </c>
      <c r="C10" s="135" t="s">
        <v>130</v>
      </c>
      <c r="D10" s="134">
        <v>0.5</v>
      </c>
      <c r="E10" s="180" t="s">
        <v>234</v>
      </c>
    </row>
    <row r="11" spans="1:5" ht="12.75">
      <c r="A11" s="131">
        <f t="shared" si="0"/>
        <v>5.3999999999999995</v>
      </c>
      <c r="B11" s="132" t="s">
        <v>115</v>
      </c>
      <c r="C11" s="135" t="s">
        <v>132</v>
      </c>
      <c r="D11" s="134">
        <v>0.4</v>
      </c>
      <c r="E11"/>
    </row>
    <row r="12" spans="1:5" ht="12.75">
      <c r="A12" s="131">
        <f t="shared" si="0"/>
        <v>5.8</v>
      </c>
      <c r="B12" s="132" t="s">
        <v>118</v>
      </c>
      <c r="C12" s="135" t="s">
        <v>134</v>
      </c>
      <c r="D12" s="134">
        <v>0.6</v>
      </c>
      <c r="E12" s="180" t="s">
        <v>235</v>
      </c>
    </row>
    <row r="13" spans="1:5" ht="12.75">
      <c r="A13" s="131">
        <f t="shared" si="0"/>
        <v>6.3999999999999995</v>
      </c>
      <c r="B13" s="132" t="s">
        <v>115</v>
      </c>
      <c r="C13" s="135" t="s">
        <v>135</v>
      </c>
      <c r="D13" s="134">
        <v>0</v>
      </c>
      <c r="E13" s="180" t="s">
        <v>236</v>
      </c>
    </row>
    <row r="14" spans="1:5" ht="12.75">
      <c r="A14" s="131">
        <f t="shared" si="0"/>
        <v>6.3999999999999995</v>
      </c>
      <c r="B14" s="147" t="s">
        <v>115</v>
      </c>
      <c r="C14" s="145" t="s">
        <v>135</v>
      </c>
      <c r="D14" s="134">
        <v>0</v>
      </c>
      <c r="E14" s="180" t="s">
        <v>237</v>
      </c>
    </row>
    <row r="15" spans="1:5" ht="12.75">
      <c r="A15" s="131">
        <f t="shared" si="0"/>
        <v>6.3999999999999995</v>
      </c>
      <c r="B15" s="147" t="s">
        <v>118</v>
      </c>
      <c r="C15" s="145" t="s">
        <v>135</v>
      </c>
      <c r="D15" s="134">
        <v>0.2</v>
      </c>
      <c r="E15" s="180" t="s">
        <v>238</v>
      </c>
    </row>
    <row r="16" spans="1:5" ht="12.75">
      <c r="A16" s="131">
        <f t="shared" si="0"/>
        <v>6.6</v>
      </c>
      <c r="B16" s="147" t="s">
        <v>118</v>
      </c>
      <c r="C16" s="145" t="s">
        <v>135</v>
      </c>
      <c r="D16" s="134">
        <v>0.1</v>
      </c>
      <c r="E16" s="180" t="s">
        <v>239</v>
      </c>
    </row>
    <row r="17" spans="1:5" ht="12.75">
      <c r="A17" s="131">
        <f t="shared" si="0"/>
        <v>6.699999999999999</v>
      </c>
      <c r="B17" s="147" t="s">
        <v>115</v>
      </c>
      <c r="C17" s="145" t="s">
        <v>140</v>
      </c>
      <c r="D17" s="134">
        <v>3.9</v>
      </c>
      <c r="E17" s="180" t="s">
        <v>240</v>
      </c>
    </row>
    <row r="18" spans="1:5" ht="12.75">
      <c r="A18" s="131">
        <f t="shared" si="0"/>
        <v>10.6</v>
      </c>
      <c r="B18" s="147" t="s">
        <v>115</v>
      </c>
      <c r="C18" s="145" t="s">
        <v>142</v>
      </c>
      <c r="D18" s="134">
        <v>0.9</v>
      </c>
      <c r="E18" s="180" t="s">
        <v>241</v>
      </c>
    </row>
    <row r="19" spans="1:5" ht="12.75">
      <c r="A19" s="131">
        <f t="shared" si="0"/>
        <v>11.5</v>
      </c>
      <c r="B19" s="147" t="s">
        <v>118</v>
      </c>
      <c r="C19" s="145" t="s">
        <v>144</v>
      </c>
      <c r="D19" s="134">
        <v>0.1</v>
      </c>
      <c r="E19" s="180" t="s">
        <v>242</v>
      </c>
    </row>
    <row r="20" spans="1:5" ht="12.75">
      <c r="A20" s="131">
        <f t="shared" si="0"/>
        <v>11.6</v>
      </c>
      <c r="B20" s="132" t="s">
        <v>115</v>
      </c>
      <c r="C20" s="135" t="s">
        <v>135</v>
      </c>
      <c r="D20" s="134">
        <v>0.2</v>
      </c>
      <c r="E20" s="180" t="s">
        <v>243</v>
      </c>
    </row>
    <row r="21" spans="1:5" ht="12.75">
      <c r="A21" s="131">
        <f t="shared" si="0"/>
        <v>11.799999999999999</v>
      </c>
      <c r="B21" s="132" t="s">
        <v>115</v>
      </c>
      <c r="C21" s="135" t="s">
        <v>140</v>
      </c>
      <c r="D21" s="134">
        <v>46</v>
      </c>
      <c r="E21" s="180"/>
    </row>
    <row r="22" spans="1:5" ht="12.75">
      <c r="A22" s="131">
        <f t="shared" si="0"/>
        <v>57.8</v>
      </c>
      <c r="B22" s="132" t="s">
        <v>111</v>
      </c>
      <c r="C22" s="135" t="s">
        <v>113</v>
      </c>
      <c r="D22" s="134">
        <v>27.5</v>
      </c>
      <c r="E22" s="180" t="s">
        <v>244</v>
      </c>
    </row>
    <row r="23" spans="1:5" ht="12.75">
      <c r="A23" s="150">
        <f>A22+D22</f>
        <v>85.3</v>
      </c>
      <c r="B23" s="151" t="s">
        <v>111</v>
      </c>
      <c r="C23" s="152" t="s">
        <v>114</v>
      </c>
      <c r="D23" s="153">
        <v>17</v>
      </c>
      <c r="E23"/>
    </row>
    <row r="24" spans="1:4" ht="60.75">
      <c r="A24" s="127" t="s">
        <v>106</v>
      </c>
      <c r="B24" s="128" t="s">
        <v>107</v>
      </c>
      <c r="C24" s="129" t="s">
        <v>108</v>
      </c>
      <c r="D24" s="130" t="s">
        <v>109</v>
      </c>
    </row>
    <row r="25" spans="1:5" ht="12.75">
      <c r="A25" s="131">
        <f>A23+D23</f>
        <v>102.3</v>
      </c>
      <c r="B25" s="132" t="s">
        <v>111</v>
      </c>
      <c r="C25" s="145" t="s">
        <v>117</v>
      </c>
      <c r="D25" s="134">
        <v>1.6</v>
      </c>
      <c r="E25" s="180" t="s">
        <v>245</v>
      </c>
    </row>
    <row r="26" spans="1:5" ht="12.75">
      <c r="A26" s="131">
        <f>A25+D25</f>
        <v>103.89999999999999</v>
      </c>
      <c r="B26" s="140" t="s">
        <v>111</v>
      </c>
      <c r="C26" s="141" t="s">
        <v>120</v>
      </c>
      <c r="D26" s="134">
        <v>3.5</v>
      </c>
      <c r="E26" s="180"/>
    </row>
    <row r="27" spans="1:5" ht="12.75">
      <c r="A27" s="131">
        <f>A26+D26</f>
        <v>107.39999999999999</v>
      </c>
      <c r="B27" s="142" t="s">
        <v>111</v>
      </c>
      <c r="C27" s="143" t="s">
        <v>122</v>
      </c>
      <c r="D27" s="134">
        <v>1.6</v>
      </c>
      <c r="E27" s="180"/>
    </row>
    <row r="28" spans="1:5" ht="12.75">
      <c r="A28" s="131">
        <f>A27+D27</f>
        <v>108.99999999999999</v>
      </c>
      <c r="B28" s="132" t="s">
        <v>111</v>
      </c>
      <c r="C28" s="132" t="s">
        <v>124</v>
      </c>
      <c r="D28" s="134">
        <v>1</v>
      </c>
      <c r="E28" s="180"/>
    </row>
    <row r="29" spans="1:5" ht="12.75">
      <c r="A29" s="131">
        <f>A28+D28</f>
        <v>109.99999999999999</v>
      </c>
      <c r="B29" s="140" t="s">
        <v>111</v>
      </c>
      <c r="C29" s="141" t="s">
        <v>126</v>
      </c>
      <c r="D29" s="134">
        <v>0.5</v>
      </c>
      <c r="E29" s="180" t="s">
        <v>245</v>
      </c>
    </row>
    <row r="30" spans="1:5" ht="12.75">
      <c r="A30" s="131"/>
      <c r="B30" s="132"/>
      <c r="C30" s="135"/>
      <c r="D30" s="134"/>
      <c r="E30" s="180"/>
    </row>
    <row r="31" spans="1:5" ht="12.75">
      <c r="A31" s="146">
        <f>A29+D29</f>
        <v>110.49999999999999</v>
      </c>
      <c r="B31" s="138" t="s">
        <v>118</v>
      </c>
      <c r="C31" s="137" t="s">
        <v>129</v>
      </c>
      <c r="D31" s="134"/>
      <c r="E31" s="180"/>
    </row>
    <row r="32" spans="1:5" ht="12.75">
      <c r="A32" s="131"/>
      <c r="B32" s="132"/>
      <c r="C32" s="137" t="s">
        <v>131</v>
      </c>
      <c r="D32" s="134"/>
      <c r="E32" s="180"/>
    </row>
    <row r="33" spans="1:5" ht="12.75">
      <c r="A33" s="131"/>
      <c r="B33" s="132"/>
      <c r="C33" s="133" t="s">
        <v>133</v>
      </c>
      <c r="D33" s="134"/>
      <c r="E33" s="180"/>
    </row>
    <row r="34" spans="1:5" ht="12.75">
      <c r="A34" s="131"/>
      <c r="B34" s="132"/>
      <c r="C34" s="135"/>
      <c r="D34" s="134"/>
      <c r="E34" s="180"/>
    </row>
    <row r="35" spans="1:5" ht="12.75">
      <c r="A35" s="131"/>
      <c r="B35" s="132" t="s">
        <v>118</v>
      </c>
      <c r="C35" s="135" t="s">
        <v>136</v>
      </c>
      <c r="D35" s="134">
        <v>0.8</v>
      </c>
      <c r="E35" s="180"/>
    </row>
    <row r="36" spans="1:5" ht="12.75">
      <c r="A36" s="131">
        <f>A31+D35</f>
        <v>111.29999999999998</v>
      </c>
      <c r="B36" s="140" t="s">
        <v>111</v>
      </c>
      <c r="C36" s="141" t="s">
        <v>137</v>
      </c>
      <c r="D36" s="134">
        <v>10.5</v>
      </c>
      <c r="E36" s="180"/>
    </row>
    <row r="37" spans="1:5" ht="12.75">
      <c r="A37" s="131">
        <f>A36+D36</f>
        <v>121.79999999999998</v>
      </c>
      <c r="B37" s="140" t="s">
        <v>111</v>
      </c>
      <c r="C37" s="168" t="s">
        <v>138</v>
      </c>
      <c r="D37" s="134">
        <v>17.9</v>
      </c>
      <c r="E37"/>
    </row>
    <row r="38" spans="1:5" ht="12.75">
      <c r="A38" s="131">
        <f>A37+D37</f>
        <v>139.7</v>
      </c>
      <c r="B38" s="147" t="s">
        <v>115</v>
      </c>
      <c r="C38" s="145" t="s">
        <v>139</v>
      </c>
      <c r="D38" s="134">
        <v>5.5</v>
      </c>
      <c r="E38" s="180"/>
    </row>
    <row r="39" spans="1:5" ht="12.75">
      <c r="A39" s="131">
        <f>A38+D38</f>
        <v>145.2</v>
      </c>
      <c r="B39" s="132" t="s">
        <v>111</v>
      </c>
      <c r="C39" s="135" t="s">
        <v>141</v>
      </c>
      <c r="D39" s="134">
        <v>10.9</v>
      </c>
      <c r="E39" s="180"/>
    </row>
    <row r="40" spans="1:5" ht="12.75">
      <c r="A40" s="131">
        <f>A39+D39</f>
        <v>156.1</v>
      </c>
      <c r="B40" s="132" t="s">
        <v>118</v>
      </c>
      <c r="C40" s="135" t="s">
        <v>143</v>
      </c>
      <c r="D40" s="134">
        <v>0</v>
      </c>
      <c r="E40" s="180"/>
    </row>
    <row r="41" spans="1:5" ht="12.75">
      <c r="A41" s="131"/>
      <c r="B41" s="132"/>
      <c r="C41" s="135"/>
      <c r="D41" s="134"/>
      <c r="E41" s="180" t="s">
        <v>245</v>
      </c>
    </row>
    <row r="42" spans="1:5" ht="12.75">
      <c r="A42" s="146">
        <f>A40+D40</f>
        <v>156.1</v>
      </c>
      <c r="B42" s="137" t="s">
        <v>115</v>
      </c>
      <c r="C42" s="137" t="s">
        <v>246</v>
      </c>
      <c r="D42" s="149"/>
      <c r="E42" s="180"/>
    </row>
    <row r="43" spans="1:5" ht="12.75">
      <c r="A43" s="131"/>
      <c r="B43" s="132"/>
      <c r="C43" s="133" t="s">
        <v>146</v>
      </c>
      <c r="D43" s="134"/>
      <c r="E43"/>
    </row>
    <row r="44" spans="1:5" ht="12.75">
      <c r="A44" s="131"/>
      <c r="B44" s="132"/>
      <c r="C44" s="139"/>
      <c r="D44" s="134"/>
      <c r="E44" s="180"/>
    </row>
    <row r="45" spans="1:5" ht="12.75">
      <c r="A45" s="131"/>
      <c r="B45" s="132"/>
      <c r="C45" s="145"/>
      <c r="D45" s="134"/>
      <c r="E45" s="180"/>
    </row>
    <row r="46" spans="1:5" ht="12.75">
      <c r="A46" s="150"/>
      <c r="B46" s="151"/>
      <c r="C46" s="152"/>
      <c r="D46" s="153"/>
      <c r="E46" s="180"/>
    </row>
    <row r="47" spans="1:4" ht="60.75">
      <c r="A47" s="127" t="s">
        <v>106</v>
      </c>
      <c r="B47" s="128" t="s">
        <v>107</v>
      </c>
      <c r="C47" s="129" t="s">
        <v>108</v>
      </c>
      <c r="D47" s="130" t="s">
        <v>109</v>
      </c>
    </row>
    <row r="48" spans="1:5" ht="12.75">
      <c r="A48" s="131"/>
      <c r="B48" s="132" t="s">
        <v>118</v>
      </c>
      <c r="C48" s="135" t="s">
        <v>147</v>
      </c>
      <c r="D48" s="134">
        <v>0</v>
      </c>
      <c r="E48" s="180"/>
    </row>
    <row r="49" spans="1:5" ht="12.75">
      <c r="A49" s="131">
        <f>A42+D48</f>
        <v>156.1</v>
      </c>
      <c r="B49" s="132" t="s">
        <v>118</v>
      </c>
      <c r="C49" s="139" t="s">
        <v>149</v>
      </c>
      <c r="D49" s="134">
        <v>59.5</v>
      </c>
      <c r="E49" s="181"/>
    </row>
    <row r="50" spans="1:5" ht="12.75">
      <c r="A50" s="131">
        <f>A49+D49</f>
        <v>215.6</v>
      </c>
      <c r="B50" s="132" t="s">
        <v>111</v>
      </c>
      <c r="C50" s="135" t="s">
        <v>247</v>
      </c>
      <c r="D50" s="134">
        <v>1.5</v>
      </c>
      <c r="E50" s="180"/>
    </row>
    <row r="51" spans="1:5" ht="12.75">
      <c r="A51" s="131">
        <f>A50+D50</f>
        <v>217.1</v>
      </c>
      <c r="B51" s="132" t="s">
        <v>115</v>
      </c>
      <c r="C51" s="135" t="s">
        <v>248</v>
      </c>
      <c r="D51" s="134">
        <v>0.3</v>
      </c>
      <c r="E51"/>
    </row>
    <row r="52" spans="1:5" ht="12.75">
      <c r="A52" s="131">
        <f>A51+D51</f>
        <v>217.4</v>
      </c>
      <c r="B52" s="132" t="s">
        <v>118</v>
      </c>
      <c r="C52" s="145" t="s">
        <v>249</v>
      </c>
      <c r="D52" s="134">
        <v>1.6</v>
      </c>
      <c r="E52" s="180"/>
    </row>
    <row r="53" spans="1:5" ht="12.75">
      <c r="A53" s="131">
        <f>A52+D52</f>
        <v>219</v>
      </c>
      <c r="B53" s="132" t="s">
        <v>115</v>
      </c>
      <c r="C53" s="139" t="s">
        <v>250</v>
      </c>
      <c r="D53" s="134">
        <v>34.4</v>
      </c>
      <c r="E53" s="180"/>
    </row>
    <row r="54" spans="1:5" ht="12.75">
      <c r="A54" s="131"/>
      <c r="B54" s="132"/>
      <c r="C54" s="135" t="s">
        <v>157</v>
      </c>
      <c r="D54" s="134"/>
      <c r="E54" s="180"/>
    </row>
    <row r="55" spans="1:5" ht="12.75">
      <c r="A55" s="131">
        <f>A53+D53</f>
        <v>253.4</v>
      </c>
      <c r="B55" s="132" t="s">
        <v>111</v>
      </c>
      <c r="C55" s="135" t="s">
        <v>160</v>
      </c>
      <c r="D55" s="134">
        <v>3.4</v>
      </c>
      <c r="E55" s="180"/>
    </row>
    <row r="56" spans="1:5" ht="12.75">
      <c r="A56" s="131"/>
      <c r="B56" s="132"/>
      <c r="C56" s="145"/>
      <c r="D56" s="134"/>
      <c r="E56" s="180"/>
    </row>
    <row r="57" spans="1:5" ht="12.75">
      <c r="A57" s="131"/>
      <c r="B57" s="132"/>
      <c r="C57" s="135"/>
      <c r="D57" s="134"/>
      <c r="E57" s="180"/>
    </row>
    <row r="58" spans="1:5" ht="12.75">
      <c r="A58" s="131"/>
      <c r="B58" s="132"/>
      <c r="C58" s="135"/>
      <c r="D58" s="134"/>
      <c r="E58" s="180"/>
    </row>
    <row r="59" spans="1:5" ht="12.75">
      <c r="A59" s="146">
        <f>A55+D55</f>
        <v>256.8</v>
      </c>
      <c r="B59" s="138" t="s">
        <v>115</v>
      </c>
      <c r="C59" s="138" t="s">
        <v>163</v>
      </c>
      <c r="D59" s="134"/>
      <c r="E59" s="180" t="s">
        <v>245</v>
      </c>
    </row>
    <row r="60" spans="1:5" ht="12.75">
      <c r="A60" s="131"/>
      <c r="B60" s="132"/>
      <c r="C60" s="138" t="s">
        <v>165</v>
      </c>
      <c r="D60" s="134"/>
      <c r="E60" s="180"/>
    </row>
    <row r="61" spans="1:5" ht="12.75">
      <c r="A61" s="131"/>
      <c r="B61" s="132"/>
      <c r="C61" s="132"/>
      <c r="D61" s="134"/>
      <c r="E61"/>
    </row>
    <row r="62" spans="1:5" ht="12.75">
      <c r="A62" s="131"/>
      <c r="B62" s="132" t="s">
        <v>115</v>
      </c>
      <c r="C62" s="145" t="s">
        <v>167</v>
      </c>
      <c r="D62" s="134">
        <v>5.8</v>
      </c>
      <c r="E62" s="180"/>
    </row>
    <row r="63" spans="1:5" ht="12.75">
      <c r="A63" s="131">
        <f>A59+D62</f>
        <v>262.6</v>
      </c>
      <c r="B63" s="132" t="s">
        <v>115</v>
      </c>
      <c r="C63" s="145" t="s">
        <v>169</v>
      </c>
      <c r="D63" s="134">
        <v>2.4</v>
      </c>
      <c r="E63"/>
    </row>
    <row r="64" spans="1:5" ht="12.75">
      <c r="A64" s="131">
        <f>A63+D63</f>
        <v>265</v>
      </c>
      <c r="B64" s="132" t="s">
        <v>115</v>
      </c>
      <c r="C64" s="135" t="s">
        <v>171</v>
      </c>
      <c r="D64" s="134">
        <v>0.7</v>
      </c>
      <c r="E64" s="180"/>
    </row>
    <row r="65" spans="1:5" ht="12.75">
      <c r="A65" s="131">
        <f>A64+D64</f>
        <v>265.7</v>
      </c>
      <c r="B65" s="132" t="s">
        <v>111</v>
      </c>
      <c r="C65" s="135" t="s">
        <v>172</v>
      </c>
      <c r="D65" s="134">
        <v>64.2</v>
      </c>
      <c r="E65" s="180"/>
    </row>
    <row r="66" spans="1:5" ht="12.75">
      <c r="A66" s="131"/>
      <c r="B66" s="132"/>
      <c r="C66" s="132"/>
      <c r="D66" s="134"/>
      <c r="E66" s="180"/>
    </row>
    <row r="67" spans="1:5" ht="12.75">
      <c r="A67" s="146">
        <f>A65+D65</f>
        <v>329.9</v>
      </c>
      <c r="B67" s="138" t="s">
        <v>115</v>
      </c>
      <c r="C67" s="137" t="s">
        <v>173</v>
      </c>
      <c r="D67" s="134"/>
      <c r="E67" s="180" t="s">
        <v>245</v>
      </c>
    </row>
    <row r="68" spans="1:5" ht="12.75">
      <c r="A68" s="131"/>
      <c r="B68" s="132"/>
      <c r="C68" s="163" t="s">
        <v>174</v>
      </c>
      <c r="D68" s="134"/>
      <c r="E68" s="180"/>
    </row>
    <row r="69" spans="1:5" ht="12.75">
      <c r="A69" s="150"/>
      <c r="B69" s="151"/>
      <c r="C69" s="152"/>
      <c r="D69" s="153"/>
      <c r="E69" s="180"/>
    </row>
    <row r="70" spans="1:4" ht="60.75">
      <c r="A70" s="127" t="s">
        <v>106</v>
      </c>
      <c r="B70" s="128" t="s">
        <v>107</v>
      </c>
      <c r="C70" s="129" t="s">
        <v>108</v>
      </c>
      <c r="D70" s="130" t="s">
        <v>109</v>
      </c>
    </row>
    <row r="71" spans="1:5" ht="12.75">
      <c r="A71" s="131"/>
      <c r="B71" s="132" t="s">
        <v>115</v>
      </c>
      <c r="C71" s="135" t="s">
        <v>148</v>
      </c>
      <c r="D71" s="134">
        <v>64.8</v>
      </c>
      <c r="E71" s="180"/>
    </row>
    <row r="72" spans="1:5" ht="12.75">
      <c r="A72" s="131">
        <f>A67+D71</f>
        <v>394.7</v>
      </c>
      <c r="B72" s="132" t="s">
        <v>111</v>
      </c>
      <c r="C72" s="135" t="s">
        <v>251</v>
      </c>
      <c r="D72" s="134">
        <v>64.8</v>
      </c>
      <c r="E72" s="181"/>
    </row>
    <row r="73" spans="1:5" ht="12.75">
      <c r="A73" s="131">
        <f>A72+D72</f>
        <v>459.5</v>
      </c>
      <c r="B73" s="132" t="s">
        <v>111</v>
      </c>
      <c r="C73" s="135" t="s">
        <v>162</v>
      </c>
      <c r="D73" s="134">
        <v>36.1</v>
      </c>
      <c r="E73" s="180"/>
    </row>
    <row r="74" spans="1:5" ht="12.75">
      <c r="A74" s="131">
        <f>A73+D73</f>
        <v>495.6</v>
      </c>
      <c r="B74" s="132" t="s">
        <v>111</v>
      </c>
      <c r="C74" s="145" t="s">
        <v>164</v>
      </c>
      <c r="D74" s="134">
        <v>4.2</v>
      </c>
      <c r="E74" s="180"/>
    </row>
    <row r="75" spans="1:5" ht="12.75">
      <c r="A75" s="131">
        <f>A74+D74</f>
        <v>499.8</v>
      </c>
      <c r="B75" s="132" t="s">
        <v>115</v>
      </c>
      <c r="C75" s="162" t="s">
        <v>166</v>
      </c>
      <c r="D75" s="134">
        <v>0.2</v>
      </c>
      <c r="E75" s="180"/>
    </row>
    <row r="76" spans="1:5" ht="12.75">
      <c r="A76" s="131"/>
      <c r="B76" s="132"/>
      <c r="C76" s="145"/>
      <c r="D76" s="134"/>
      <c r="E76" s="180"/>
    </row>
    <row r="77" spans="1:5" ht="12.75">
      <c r="A77" s="146">
        <f>A75+D75</f>
        <v>500</v>
      </c>
      <c r="B77" s="138" t="s">
        <v>115</v>
      </c>
      <c r="C77" s="133" t="s">
        <v>252</v>
      </c>
      <c r="D77" s="134"/>
      <c r="E77" s="180" t="s">
        <v>245</v>
      </c>
    </row>
    <row r="78" spans="1:5" ht="12.75">
      <c r="A78" s="131"/>
      <c r="B78" s="132"/>
      <c r="C78" s="133" t="s">
        <v>170</v>
      </c>
      <c r="D78" s="134"/>
      <c r="E78" s="180"/>
    </row>
    <row r="79" spans="1:5" ht="12.75">
      <c r="A79" s="131"/>
      <c r="B79" s="132"/>
      <c r="C79" s="141"/>
      <c r="D79" s="134"/>
      <c r="E79" s="180"/>
    </row>
    <row r="80" spans="1:5" ht="12.75">
      <c r="A80" s="131"/>
      <c r="B80" s="132" t="s">
        <v>118</v>
      </c>
      <c r="C80" s="141" t="s">
        <v>178</v>
      </c>
      <c r="D80" s="134">
        <v>0.2</v>
      </c>
      <c r="E80" s="180"/>
    </row>
    <row r="81" spans="1:5" ht="12.75">
      <c r="A81" s="131">
        <f>A77+D80</f>
        <v>500.2</v>
      </c>
      <c r="B81" s="132" t="s">
        <v>118</v>
      </c>
      <c r="C81" s="141" t="s">
        <v>180</v>
      </c>
      <c r="D81" s="134">
        <v>4.2</v>
      </c>
      <c r="E81" s="180"/>
    </row>
    <row r="82" spans="1:5" ht="12.75">
      <c r="A82" s="131">
        <f>A81+D81</f>
        <v>504.4</v>
      </c>
      <c r="B82" s="132" t="s">
        <v>111</v>
      </c>
      <c r="C82" s="141" t="s">
        <v>138</v>
      </c>
      <c r="D82" s="134">
        <v>36.1</v>
      </c>
      <c r="E82" s="180"/>
    </row>
    <row r="83" spans="1:5" ht="12.75">
      <c r="A83" s="131">
        <f>A82+D82</f>
        <v>540.5</v>
      </c>
      <c r="B83" s="132" t="s">
        <v>111</v>
      </c>
      <c r="C83" s="135" t="s">
        <v>183</v>
      </c>
      <c r="D83" s="134">
        <v>64.8</v>
      </c>
      <c r="E83"/>
    </row>
    <row r="84" spans="1:5" ht="12.75">
      <c r="A84" s="131">
        <f>A83+D83</f>
        <v>605.3</v>
      </c>
      <c r="B84" s="132" t="s">
        <v>111</v>
      </c>
      <c r="C84" s="139" t="s">
        <v>253</v>
      </c>
      <c r="D84" s="134">
        <v>64.8</v>
      </c>
      <c r="E84" s="180" t="s">
        <v>245</v>
      </c>
    </row>
    <row r="85" spans="1:5" ht="12.75">
      <c r="A85" s="131"/>
      <c r="B85" s="132"/>
      <c r="C85" s="133"/>
      <c r="D85" s="134"/>
      <c r="E85" s="180"/>
    </row>
    <row r="86" spans="1:5" ht="12.75">
      <c r="A86" s="146">
        <f>A84+D84</f>
        <v>670.0999999999999</v>
      </c>
      <c r="B86" s="138" t="s">
        <v>118</v>
      </c>
      <c r="C86" s="138" t="s">
        <v>254</v>
      </c>
      <c r="D86" s="134"/>
      <c r="E86"/>
    </row>
    <row r="87" spans="1:5" ht="12.75">
      <c r="A87" s="131"/>
      <c r="B87" s="132"/>
      <c r="C87" s="138" t="s">
        <v>174</v>
      </c>
      <c r="D87" s="134"/>
      <c r="E87" s="180"/>
    </row>
    <row r="88" spans="1:5" ht="12.75">
      <c r="A88" s="131"/>
      <c r="B88" s="132"/>
      <c r="C88" s="141"/>
      <c r="D88" s="134"/>
      <c r="E88" s="180"/>
    </row>
    <row r="89" spans="1:5" ht="12.75">
      <c r="A89" s="131"/>
      <c r="B89" s="132"/>
      <c r="C89" s="145"/>
      <c r="D89" s="134"/>
      <c r="E89"/>
    </row>
    <row r="90" spans="1:5" ht="12.75">
      <c r="A90" s="131"/>
      <c r="B90" s="132"/>
      <c r="C90" s="135"/>
      <c r="D90" s="134"/>
      <c r="E90" s="180"/>
    </row>
    <row r="91" spans="1:5" ht="12.75">
      <c r="A91" s="131"/>
      <c r="B91" s="132"/>
      <c r="C91" s="138"/>
      <c r="D91" s="134"/>
      <c r="E91" s="180" t="s">
        <v>245</v>
      </c>
    </row>
    <row r="92" spans="1:5" ht="12.75">
      <c r="A92" s="150"/>
      <c r="B92" s="151"/>
      <c r="C92" s="154"/>
      <c r="D92" s="153"/>
      <c r="E92" s="180"/>
    </row>
    <row r="93" spans="1:4" ht="38.25">
      <c r="A93" s="164" t="s">
        <v>175</v>
      </c>
      <c r="B93" s="165" t="s">
        <v>107</v>
      </c>
      <c r="C93" s="166" t="s">
        <v>176</v>
      </c>
      <c r="D93" s="167" t="s">
        <v>177</v>
      </c>
    </row>
    <row r="94" spans="1:4" ht="12.75">
      <c r="A94" s="131"/>
      <c r="B94" s="132" t="s">
        <v>118</v>
      </c>
      <c r="C94" s="135" t="s">
        <v>138</v>
      </c>
      <c r="D94" s="134">
        <v>64.7</v>
      </c>
    </row>
    <row r="95" spans="1:4" ht="12.75">
      <c r="A95" s="131">
        <f>A86+D94</f>
        <v>734.8</v>
      </c>
      <c r="B95" s="132" t="s">
        <v>118</v>
      </c>
      <c r="C95" s="135" t="s">
        <v>195</v>
      </c>
      <c r="D95" s="134">
        <v>2.6</v>
      </c>
    </row>
    <row r="96" spans="1:4" ht="12.75">
      <c r="A96" s="131">
        <f>A95+D95</f>
        <v>737.4</v>
      </c>
      <c r="B96" s="132" t="s">
        <v>118</v>
      </c>
      <c r="C96" s="135" t="s">
        <v>197</v>
      </c>
      <c r="D96" s="134">
        <v>5.8</v>
      </c>
    </row>
    <row r="97" spans="1:4" ht="12.75">
      <c r="A97" s="131"/>
      <c r="B97" s="132"/>
      <c r="C97" s="135"/>
      <c r="D97" s="134"/>
    </row>
    <row r="98" spans="1:4" ht="12.75">
      <c r="A98" s="146">
        <f>A96+D96</f>
        <v>743.1999999999999</v>
      </c>
      <c r="B98" s="138" t="s">
        <v>115</v>
      </c>
      <c r="C98" s="138" t="s">
        <v>255</v>
      </c>
      <c r="D98" s="134"/>
    </row>
    <row r="99" spans="1:4" ht="12.75">
      <c r="A99" s="131"/>
      <c r="B99" s="132"/>
      <c r="C99" s="133" t="s">
        <v>165</v>
      </c>
      <c r="D99" s="134"/>
    </row>
    <row r="100" spans="1:4" ht="12.75">
      <c r="A100" s="131"/>
      <c r="B100" s="132"/>
      <c r="C100" s="168"/>
      <c r="D100" s="134"/>
    </row>
    <row r="101" spans="1:4" ht="12.75">
      <c r="A101" s="131"/>
      <c r="B101" s="136" t="s">
        <v>115</v>
      </c>
      <c r="C101" s="139" t="s">
        <v>179</v>
      </c>
      <c r="D101" s="134">
        <v>3.4</v>
      </c>
    </row>
    <row r="102" spans="1:4" ht="12.75">
      <c r="A102" s="131">
        <f>A98+D101</f>
        <v>746.5999999999999</v>
      </c>
      <c r="B102" s="136" t="s">
        <v>111</v>
      </c>
      <c r="C102" s="139" t="s">
        <v>256</v>
      </c>
      <c r="D102" s="134">
        <v>34.4</v>
      </c>
    </row>
    <row r="103" spans="1:4" ht="12.75">
      <c r="A103" s="131">
        <f>A102+D102</f>
        <v>780.9999999999999</v>
      </c>
      <c r="B103" s="132" t="s">
        <v>118</v>
      </c>
      <c r="C103" s="135" t="s">
        <v>257</v>
      </c>
      <c r="D103" s="134">
        <v>1.6</v>
      </c>
    </row>
    <row r="104" spans="1:5" ht="12.75">
      <c r="A104" s="131">
        <f>A103+D103</f>
        <v>782.5999999999999</v>
      </c>
      <c r="B104" s="170" t="s">
        <v>115</v>
      </c>
      <c r="C104" s="168" t="s">
        <v>248</v>
      </c>
      <c r="D104" s="171">
        <v>0.3</v>
      </c>
      <c r="E104" s="180" t="s">
        <v>245</v>
      </c>
    </row>
    <row r="105" spans="1:4" ht="12.75">
      <c r="A105" s="131">
        <f>A104+D104</f>
        <v>782.8999999999999</v>
      </c>
      <c r="B105" s="147" t="s">
        <v>118</v>
      </c>
      <c r="C105" s="145" t="s">
        <v>192</v>
      </c>
      <c r="D105" s="134">
        <v>1.5</v>
      </c>
    </row>
    <row r="106" spans="1:4" ht="12.75">
      <c r="A106" s="131">
        <f>A105+D105</f>
        <v>784.3999999999999</v>
      </c>
      <c r="B106" s="147" t="s">
        <v>111</v>
      </c>
      <c r="C106" s="145" t="s">
        <v>151</v>
      </c>
      <c r="D106" s="134">
        <v>59.5</v>
      </c>
    </row>
    <row r="107" spans="1:4" ht="12.75">
      <c r="A107" s="131"/>
      <c r="B107" s="132"/>
      <c r="C107" s="139"/>
      <c r="D107" s="134"/>
    </row>
    <row r="108" spans="1:4" ht="12.75">
      <c r="A108" s="146">
        <f>A106+D106</f>
        <v>843.8999999999999</v>
      </c>
      <c r="B108" s="137" t="s">
        <v>115</v>
      </c>
      <c r="C108" s="148" t="s">
        <v>258</v>
      </c>
      <c r="D108" s="134"/>
    </row>
    <row r="109" spans="1:4" ht="12.75">
      <c r="A109" s="131"/>
      <c r="B109" s="132"/>
      <c r="C109" s="133" t="s">
        <v>146</v>
      </c>
      <c r="D109" s="134"/>
    </row>
    <row r="110" spans="1:4" ht="12.75">
      <c r="A110" s="131"/>
      <c r="B110" s="132"/>
      <c r="C110" s="135"/>
      <c r="D110" s="134"/>
    </row>
    <row r="111" spans="1:4" ht="12.75">
      <c r="A111" s="131"/>
      <c r="B111" s="132"/>
      <c r="C111" s="135"/>
      <c r="D111" s="134"/>
    </row>
    <row r="112" spans="1:4" ht="12.75">
      <c r="A112" s="131"/>
      <c r="B112" s="132"/>
      <c r="C112" s="172"/>
      <c r="D112" s="134"/>
    </row>
    <row r="113" spans="1:4" ht="12.75">
      <c r="A113" s="131"/>
      <c r="B113" s="132"/>
      <c r="C113" s="172"/>
      <c r="D113" s="134"/>
    </row>
    <row r="114" spans="1:4" ht="12.75">
      <c r="A114" s="131"/>
      <c r="B114" s="132"/>
      <c r="C114" s="145"/>
      <c r="D114" s="134"/>
    </row>
    <row r="115" spans="1:4" ht="12.75">
      <c r="A115" s="150"/>
      <c r="B115" s="151"/>
      <c r="C115" s="152"/>
      <c r="D115" s="153"/>
    </row>
    <row r="116" spans="1:4" ht="60.75">
      <c r="A116" s="127" t="s">
        <v>106</v>
      </c>
      <c r="B116" s="128" t="s">
        <v>107</v>
      </c>
      <c r="C116" s="129" t="s">
        <v>108</v>
      </c>
      <c r="D116" s="130" t="s">
        <v>109</v>
      </c>
    </row>
    <row r="117" spans="1:4" ht="12.75">
      <c r="A117" s="131"/>
      <c r="B117" s="132" t="s">
        <v>115</v>
      </c>
      <c r="C117" s="139" t="s">
        <v>189</v>
      </c>
      <c r="D117" s="134">
        <v>10.9</v>
      </c>
    </row>
    <row r="118" spans="1:4" ht="12.75">
      <c r="A118" s="131">
        <f>A108+D117</f>
        <v>854.7999999999998</v>
      </c>
      <c r="B118" s="132" t="s">
        <v>111</v>
      </c>
      <c r="C118" s="135" t="s">
        <v>191</v>
      </c>
      <c r="D118" s="134">
        <v>5.5</v>
      </c>
    </row>
    <row r="119" spans="1:4" ht="12.75">
      <c r="A119" s="131">
        <f>A118+D118</f>
        <v>860.2999999999998</v>
      </c>
      <c r="B119" s="132" t="s">
        <v>115</v>
      </c>
      <c r="C119" s="135" t="s">
        <v>192</v>
      </c>
      <c r="D119" s="134">
        <v>17.9</v>
      </c>
    </row>
    <row r="120" spans="1:4" ht="12.75">
      <c r="A120" s="131">
        <f>A119+D119</f>
        <v>878.1999999999998</v>
      </c>
      <c r="B120" s="132" t="s">
        <v>115</v>
      </c>
      <c r="C120" s="145" t="s">
        <v>193</v>
      </c>
      <c r="D120" s="134">
        <v>0.7</v>
      </c>
    </row>
    <row r="121" spans="1:4" ht="12.75">
      <c r="A121" s="131">
        <f>A120+D120</f>
        <v>878.8999999999999</v>
      </c>
      <c r="B121" s="132" t="s">
        <v>111</v>
      </c>
      <c r="C121" s="145" t="s">
        <v>194</v>
      </c>
      <c r="D121" s="134">
        <v>10.5</v>
      </c>
    </row>
    <row r="122" spans="1:4" ht="12.75">
      <c r="A122" s="131">
        <f>A121+D121</f>
        <v>889.3999999999999</v>
      </c>
      <c r="B122" s="132" t="s">
        <v>111</v>
      </c>
      <c r="C122" s="141" t="s">
        <v>196</v>
      </c>
      <c r="D122" s="134">
        <v>0.8</v>
      </c>
    </row>
    <row r="123" spans="1:4" ht="12.75">
      <c r="A123" s="131"/>
      <c r="B123" s="132"/>
      <c r="C123" s="162"/>
      <c r="D123" s="134"/>
    </row>
    <row r="124" spans="1:4" ht="12.75">
      <c r="A124" s="146">
        <f>A122+D122</f>
        <v>890.1999999999998</v>
      </c>
      <c r="B124" s="137" t="s">
        <v>115</v>
      </c>
      <c r="C124" s="172" t="s">
        <v>259</v>
      </c>
      <c r="D124" s="134"/>
    </row>
    <row r="125" spans="1:4" ht="12.75">
      <c r="A125" s="131"/>
      <c r="B125" s="132"/>
      <c r="C125" s="148" t="s">
        <v>131</v>
      </c>
      <c r="D125" s="134"/>
    </row>
    <row r="126" spans="1:5" ht="12.75">
      <c r="A126" s="131"/>
      <c r="B126" s="132"/>
      <c r="C126" s="135"/>
      <c r="D126" s="134"/>
      <c r="E126" s="180" t="s">
        <v>245</v>
      </c>
    </row>
    <row r="127" spans="1:4" ht="12.75">
      <c r="A127" s="131"/>
      <c r="B127" s="136" t="s">
        <v>115</v>
      </c>
      <c r="C127" s="173" t="s">
        <v>200</v>
      </c>
      <c r="D127" s="134">
        <v>0.5</v>
      </c>
    </row>
    <row r="128" spans="1:4" ht="12.75">
      <c r="A128" s="131">
        <f>A124+D127</f>
        <v>890.6999999999998</v>
      </c>
      <c r="B128" s="132" t="s">
        <v>111</v>
      </c>
      <c r="C128" s="141" t="s">
        <v>202</v>
      </c>
      <c r="D128" s="134">
        <v>1</v>
      </c>
    </row>
    <row r="129" spans="1:4" ht="12.75">
      <c r="A129" s="131">
        <f>A128+D128</f>
        <v>891.6999999999998</v>
      </c>
      <c r="B129" s="132" t="s">
        <v>111</v>
      </c>
      <c r="C129" s="141" t="s">
        <v>204</v>
      </c>
      <c r="D129" s="134">
        <v>1.6</v>
      </c>
    </row>
    <row r="130" spans="1:4" ht="12.75">
      <c r="A130" s="131">
        <f aca="true" t="shared" si="1" ref="A130:A138">A129+D129</f>
        <v>893.2999999999998</v>
      </c>
      <c r="B130" s="136" t="s">
        <v>111</v>
      </c>
      <c r="C130" s="174" t="s">
        <v>206</v>
      </c>
      <c r="D130" s="134">
        <v>3.5</v>
      </c>
    </row>
    <row r="131" spans="1:4" ht="12.75">
      <c r="A131" s="131">
        <f t="shared" si="1"/>
        <v>896.7999999999998</v>
      </c>
      <c r="B131" s="132" t="s">
        <v>111</v>
      </c>
      <c r="C131" s="145" t="s">
        <v>208</v>
      </c>
      <c r="D131" s="134">
        <v>1.6</v>
      </c>
    </row>
    <row r="132" spans="1:4" ht="12.75">
      <c r="A132" s="131">
        <f t="shared" si="1"/>
        <v>898.3999999999999</v>
      </c>
      <c r="B132" s="132" t="s">
        <v>111</v>
      </c>
      <c r="C132" s="145" t="s">
        <v>210</v>
      </c>
      <c r="D132" s="134">
        <v>44.5</v>
      </c>
    </row>
    <row r="133" spans="1:4" ht="12.75">
      <c r="A133" s="131">
        <f t="shared" si="1"/>
        <v>942.8999999999999</v>
      </c>
      <c r="B133" s="132" t="s">
        <v>111</v>
      </c>
      <c r="C133" s="135" t="s">
        <v>214</v>
      </c>
      <c r="D133" s="134">
        <v>11.1</v>
      </c>
    </row>
    <row r="134" spans="1:4" ht="12.75">
      <c r="A134" s="131">
        <f t="shared" si="1"/>
        <v>953.9999999999999</v>
      </c>
      <c r="B134" s="132" t="s">
        <v>115</v>
      </c>
      <c r="C134" s="145" t="s">
        <v>260</v>
      </c>
      <c r="D134" s="134">
        <v>2.6</v>
      </c>
    </row>
    <row r="135" spans="1:4" ht="12.75">
      <c r="A135" s="131">
        <f t="shared" si="1"/>
        <v>956.5999999999999</v>
      </c>
      <c r="B135" s="132" t="s">
        <v>111</v>
      </c>
      <c r="C135" s="145" t="s">
        <v>261</v>
      </c>
      <c r="D135" s="134">
        <v>4.5</v>
      </c>
    </row>
    <row r="136" spans="1:4" ht="12.75">
      <c r="A136" s="131">
        <f t="shared" si="1"/>
        <v>961.0999999999999</v>
      </c>
      <c r="B136" s="132" t="s">
        <v>118</v>
      </c>
      <c r="C136" s="135" t="s">
        <v>262</v>
      </c>
      <c r="D136" s="134">
        <v>2.7</v>
      </c>
    </row>
    <row r="137" spans="1:4" ht="12.75">
      <c r="A137" s="131">
        <f t="shared" si="1"/>
        <v>963.8</v>
      </c>
      <c r="B137" s="132" t="s">
        <v>115</v>
      </c>
      <c r="C137" s="139" t="s">
        <v>263</v>
      </c>
      <c r="D137" s="134">
        <v>0.8</v>
      </c>
    </row>
    <row r="138" spans="1:4" ht="12.75">
      <c r="A138" s="150">
        <f t="shared" si="1"/>
        <v>964.5999999999999</v>
      </c>
      <c r="B138" s="151" t="s">
        <v>115</v>
      </c>
      <c r="C138" s="152" t="s">
        <v>264</v>
      </c>
      <c r="D138" s="153">
        <v>10.6</v>
      </c>
    </row>
    <row r="139" spans="1:4" ht="60.75">
      <c r="A139" s="127" t="s">
        <v>106</v>
      </c>
      <c r="B139" s="128" t="s">
        <v>107</v>
      </c>
      <c r="C139" s="129" t="s">
        <v>108</v>
      </c>
      <c r="D139" s="130" t="s">
        <v>109</v>
      </c>
    </row>
    <row r="140" spans="1:4" ht="12.75">
      <c r="A140" s="131">
        <f>A138+D138</f>
        <v>975.1999999999999</v>
      </c>
      <c r="B140" s="132" t="s">
        <v>115</v>
      </c>
      <c r="C140" s="135" t="s">
        <v>265</v>
      </c>
      <c r="D140" s="134">
        <v>15.1</v>
      </c>
    </row>
    <row r="141" spans="1:4" ht="12.75">
      <c r="A141" s="131">
        <f aca="true" t="shared" si="2" ref="A141:A155">A140+D140</f>
        <v>990.3</v>
      </c>
      <c r="B141" s="132" t="s">
        <v>111</v>
      </c>
      <c r="C141" s="135" t="s">
        <v>112</v>
      </c>
      <c r="D141" s="134">
        <v>1.2</v>
      </c>
    </row>
    <row r="142" spans="1:4" ht="12.75">
      <c r="A142" s="131">
        <f t="shared" si="2"/>
        <v>991.5</v>
      </c>
      <c r="B142" s="132" t="s">
        <v>115</v>
      </c>
      <c r="C142" s="135" t="s">
        <v>216</v>
      </c>
      <c r="D142" s="134">
        <v>0.1</v>
      </c>
    </row>
    <row r="143" spans="1:5" ht="12.75">
      <c r="A143" s="131">
        <f t="shared" si="2"/>
        <v>991.6</v>
      </c>
      <c r="B143" s="132" t="s">
        <v>111</v>
      </c>
      <c r="C143" s="145" t="s">
        <v>217</v>
      </c>
      <c r="D143" s="134">
        <v>0</v>
      </c>
      <c r="E143" s="180" t="s">
        <v>245</v>
      </c>
    </row>
    <row r="144" spans="1:4" ht="12.75">
      <c r="A144" s="131">
        <f t="shared" si="2"/>
        <v>991.6</v>
      </c>
      <c r="B144" s="132" t="s">
        <v>118</v>
      </c>
      <c r="C144" s="135" t="s">
        <v>216</v>
      </c>
      <c r="D144" s="134">
        <v>0.1</v>
      </c>
    </row>
    <row r="145" spans="1:4" ht="12.75">
      <c r="A145" s="131">
        <f t="shared" si="2"/>
        <v>991.7</v>
      </c>
      <c r="B145" s="132" t="s">
        <v>111</v>
      </c>
      <c r="C145" s="135" t="s">
        <v>201</v>
      </c>
      <c r="D145" s="134">
        <v>3</v>
      </c>
    </row>
    <row r="146" spans="1:4" ht="12.75">
      <c r="A146" s="131">
        <f t="shared" si="2"/>
        <v>994.7</v>
      </c>
      <c r="B146" s="132" t="s">
        <v>115</v>
      </c>
      <c r="C146" s="145" t="s">
        <v>216</v>
      </c>
      <c r="D146" s="134">
        <v>0.2</v>
      </c>
    </row>
    <row r="147" spans="1:4" ht="12.75">
      <c r="A147" s="131">
        <f t="shared" si="2"/>
        <v>994.9000000000001</v>
      </c>
      <c r="B147" s="132" t="s">
        <v>118</v>
      </c>
      <c r="C147" s="177" t="s">
        <v>218</v>
      </c>
      <c r="D147" s="134">
        <v>0</v>
      </c>
    </row>
    <row r="148" spans="1:4" ht="12.75">
      <c r="A148" s="131">
        <f t="shared" si="2"/>
        <v>994.9000000000001</v>
      </c>
      <c r="B148" s="132" t="s">
        <v>118</v>
      </c>
      <c r="C148" s="135" t="s">
        <v>216</v>
      </c>
      <c r="D148" s="134">
        <v>0</v>
      </c>
    </row>
    <row r="149" spans="1:4" ht="12.75">
      <c r="A149" s="131">
        <f t="shared" si="2"/>
        <v>994.9000000000001</v>
      </c>
      <c r="B149" s="132" t="s">
        <v>115</v>
      </c>
      <c r="C149" s="135" t="s">
        <v>216</v>
      </c>
      <c r="D149" s="134">
        <v>0.2</v>
      </c>
    </row>
    <row r="150" spans="1:4" ht="12.75">
      <c r="A150" s="131">
        <f t="shared" si="2"/>
        <v>995.1000000000001</v>
      </c>
      <c r="B150" s="132" t="s">
        <v>111</v>
      </c>
      <c r="C150" s="145" t="s">
        <v>219</v>
      </c>
      <c r="D150" s="134">
        <v>0</v>
      </c>
    </row>
    <row r="151" spans="1:4" ht="12.75">
      <c r="A151" s="131">
        <f t="shared" si="2"/>
        <v>995.1000000000001</v>
      </c>
      <c r="B151" s="132" t="s">
        <v>118</v>
      </c>
      <c r="C151" s="135" t="s">
        <v>216</v>
      </c>
      <c r="D151" s="134">
        <v>0.2</v>
      </c>
    </row>
    <row r="152" spans="1:4" ht="12.75">
      <c r="A152" s="131">
        <f t="shared" si="2"/>
        <v>995.3000000000002</v>
      </c>
      <c r="B152" s="132" t="s">
        <v>111</v>
      </c>
      <c r="C152" s="135" t="s">
        <v>201</v>
      </c>
      <c r="D152" s="134">
        <v>0.9</v>
      </c>
    </row>
    <row r="153" spans="1:4" ht="12.75">
      <c r="A153" s="131">
        <f t="shared" si="2"/>
        <v>996.2000000000002</v>
      </c>
      <c r="B153" s="132" t="s">
        <v>115</v>
      </c>
      <c r="C153" s="145" t="s">
        <v>220</v>
      </c>
      <c r="D153" s="134">
        <v>0.5</v>
      </c>
    </row>
    <row r="154" spans="1:4" ht="12.75">
      <c r="A154" s="131">
        <f t="shared" si="2"/>
        <v>996.7000000000002</v>
      </c>
      <c r="B154" s="132" t="s">
        <v>111</v>
      </c>
      <c r="C154" s="145" t="s">
        <v>128</v>
      </c>
      <c r="D154" s="134">
        <v>0.4</v>
      </c>
    </row>
    <row r="155" spans="1:4" ht="12.75">
      <c r="A155" s="131">
        <f t="shared" si="2"/>
        <v>997.1000000000001</v>
      </c>
      <c r="B155" s="132" t="s">
        <v>111</v>
      </c>
      <c r="C155" s="135" t="s">
        <v>201</v>
      </c>
      <c r="D155" s="134">
        <v>3.8</v>
      </c>
    </row>
    <row r="156" spans="1:4" ht="12.75">
      <c r="A156" s="131">
        <f>A155+D155</f>
        <v>1000.9000000000001</v>
      </c>
      <c r="B156" s="132" t="s">
        <v>111</v>
      </c>
      <c r="C156" s="135" t="s">
        <v>266</v>
      </c>
      <c r="D156" s="134">
        <v>0.3</v>
      </c>
    </row>
    <row r="157" spans="1:4" ht="12.75">
      <c r="A157" s="131"/>
      <c r="B157" s="132"/>
      <c r="C157" s="135"/>
      <c r="D157" s="134"/>
    </row>
    <row r="158" spans="1:4" ht="12.75">
      <c r="A158" s="146">
        <f>A156+D156</f>
        <v>1001.2</v>
      </c>
      <c r="B158" s="138" t="s">
        <v>118</v>
      </c>
      <c r="C158" s="178" t="s">
        <v>267</v>
      </c>
      <c r="D158" s="134"/>
    </row>
    <row r="159" spans="1:4" ht="12.75">
      <c r="A159" s="131"/>
      <c r="B159" s="132"/>
      <c r="C159" s="148" t="s">
        <v>224</v>
      </c>
      <c r="D159" s="134"/>
    </row>
    <row r="160" spans="1:4" ht="12.75">
      <c r="A160" s="131"/>
      <c r="B160" s="132"/>
      <c r="C160" s="145"/>
      <c r="D160" s="134"/>
    </row>
    <row r="161" spans="1:4" ht="12.75">
      <c r="A161" s="150"/>
      <c r="B161" s="151"/>
      <c r="C161" s="179" t="s">
        <v>221</v>
      </c>
      <c r="D161" s="153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85546875" style="0" customWidth="1"/>
  </cols>
  <sheetData>
    <row r="1" spans="1:4" ht="15">
      <c r="A1" s="182" t="str">
        <f>Brevet_Number</f>
        <v>VI1000A</v>
      </c>
      <c r="B1" s="182"/>
      <c r="C1" s="182"/>
      <c r="D1" s="182"/>
    </row>
    <row r="2" spans="1:4" ht="15">
      <c r="A2" s="183" t="s">
        <v>268</v>
      </c>
      <c r="B2" s="183"/>
      <c r="C2" s="184"/>
      <c r="D2" s="185" t="s">
        <v>269</v>
      </c>
    </row>
    <row r="3" spans="1:5" ht="12.75">
      <c r="A3" s="186" t="e">
        <f>#REF!</f>
        <v>#REF!</v>
      </c>
      <c r="B3" s="187" t="e">
        <f>#REF!</f>
        <v>#REF!</v>
      </c>
      <c r="C3" s="188"/>
      <c r="D3" s="189" t="e">
        <f>#REF!</f>
        <v>#REF!</v>
      </c>
      <c r="E3" s="5" t="e">
        <f>#REF!</f>
        <v>#REF!</v>
      </c>
    </row>
    <row r="7" ht="12.75">
      <c r="A7" t="s">
        <v>270</v>
      </c>
    </row>
    <row r="8" ht="12.75">
      <c r="A8" t="s">
        <v>271</v>
      </c>
    </row>
    <row r="9" ht="12.75">
      <c r="A9" t="s">
        <v>272</v>
      </c>
    </row>
    <row r="10" ht="12.75">
      <c r="A10" t="s">
        <v>273</v>
      </c>
    </row>
    <row r="11" ht="12.75">
      <c r="A11" t="s">
        <v>274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2005-06-18T15:32:00Z</cp:lastPrinted>
  <dcterms:created xsi:type="dcterms:W3CDTF">1997-11-12T04:43:39Z</dcterms:created>
  <dcterms:modified xsi:type="dcterms:W3CDTF">2005-06-25T16:06:18Z</dcterms:modified>
  <cp:category/>
  <cp:version/>
  <cp:contentType/>
  <cp:contentStatus/>
</cp:coreProperties>
</file>