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4/5401 Chili/"/>
    </mc:Choice>
  </mc:AlternateContent>
  <xr:revisionPtr revIDLastSave="0" documentId="13_ncr:1_{C6CD1AF8-F81F-B04D-A3EF-F9E10A577754}" xr6:coauthVersionLast="36" xr6:coauthVersionMax="36" xr10:uidLastSave="{00000000-0000-0000-0000-000000000000}"/>
  <bookViews>
    <workbookView xWindow="0" yWindow="500" windowWidth="25600" windowHeight="15500" tabRatio="509" xr2:uid="{00000000-000D-0000-FFFF-FFFF00000000}"/>
  </bookViews>
  <sheets>
    <sheet name="Control Entry" sheetId="1" r:id="rId1"/>
    <sheet name="Card #1" sheetId="7" r:id="rId2"/>
  </sheets>
  <definedNames>
    <definedName name="Address_1" localSheetId="1">#REF!</definedName>
    <definedName name="Address_1">#REF!</definedName>
    <definedName name="Address_2" localSheetId="1">#REF!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'Control Entry'!#REF!</definedName>
    <definedName name="Control_12" localSheetId="1">'Control Entry'!#REF!</definedName>
    <definedName name="Control_12">'Control Entry'!#REF!</definedName>
    <definedName name="Control_13" localSheetId="1">'Control Entry'!#REF!</definedName>
    <definedName name="Control_13">'Control Entry'!#REF!</definedName>
    <definedName name="Control_14" localSheetId="1">'Control Entry'!#REF!</definedName>
    <definedName name="Control_14">'Control Entry'!#REF!</definedName>
    <definedName name="Control_15" localSheetId="1">'Control Entry'!#REF!</definedName>
    <definedName name="Control_15">'Control Entry'!#REF!</definedName>
    <definedName name="Control_16" localSheetId="1">'Control Entry'!#REF!</definedName>
    <definedName name="Control_16">'Control Entry'!#REF!</definedName>
    <definedName name="Control_17" localSheetId="1">'Control Entry'!#REF!</definedName>
    <definedName name="Control_17">'Control Entry'!#REF!</definedName>
    <definedName name="Control_18" localSheetId="1">'Control Entry'!#REF!</definedName>
    <definedName name="Control_18">'Control Entry'!#REF!</definedName>
    <definedName name="Control_19" localSheetId="1">'Control Entry'!#REF!</definedName>
    <definedName name="Control_19">'Control Entry'!#REF!</definedName>
    <definedName name="Control_2">'Control Entry'!$D$16:$O$16</definedName>
    <definedName name="Control_20" localSheetId="1">'Control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#REF!</definedName>
    <definedName name="Distance">'Control Entry'!$D$15:$D$24</definedName>
    <definedName name="email" localSheetId="1">#REF!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#REF!</definedName>
    <definedName name="First_Name" localSheetId="1">#REF!</definedName>
    <definedName name="First_Name">#REF!</definedName>
    <definedName name="Home_telephone" localSheetId="1">#REF!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#REF!</definedName>
    <definedName name="_xlnm.Print_Area" localSheetId="1">'Card #1'!$A$1:$K$55</definedName>
    <definedName name="Province_State" localSheetId="1">#REF!</definedName>
    <definedName name="Province_State">#REF!</definedName>
    <definedName name="Start_date">'Control Entry'!$B$12</definedName>
    <definedName name="Start_time">'Control Entry'!$B$13</definedName>
    <definedName name="surname" localSheetId="1">#REF!</definedName>
    <definedName name="surname">#REF!</definedName>
    <definedName name="Work_telephone" localSheetId="1">#REF!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L7" i="1" l="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M16" i="1" l="1"/>
  <c r="C22" i="7"/>
  <c r="C23" i="7"/>
  <c r="C21" i="7"/>
  <c r="B7" i="1"/>
  <c r="M21" i="1" s="1"/>
  <c r="O21" i="1" s="1"/>
  <c r="O16" i="1"/>
  <c r="M19" i="1"/>
  <c r="O19" i="1" s="1"/>
  <c r="M18" i="1"/>
  <c r="O18" i="1" s="1"/>
  <c r="M17" i="1"/>
  <c r="O17" i="1" s="1"/>
  <c r="M15" i="1"/>
  <c r="O15" i="1" s="1"/>
  <c r="N18" i="1"/>
  <c r="N22" i="1"/>
  <c r="N17" i="1"/>
  <c r="N21" i="1"/>
  <c r="N24" i="1"/>
  <c r="N16" i="1"/>
  <c r="N20" i="1"/>
  <c r="N19" i="1"/>
  <c r="N23" i="1"/>
  <c r="M24" i="1" l="1"/>
  <c r="O24" i="1" s="1"/>
  <c r="D50" i="7" s="1"/>
  <c r="M23" i="1"/>
  <c r="O23" i="1" s="1"/>
  <c r="D47" i="7" s="1"/>
  <c r="M20" i="1"/>
  <c r="O20" i="1" s="1"/>
  <c r="D37" i="7" s="1"/>
  <c r="M22" i="1"/>
  <c r="O22" i="1" s="1"/>
  <c r="D44" i="7"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48" i="7" l="1"/>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C2700BB7-AC40-4846-9773-3956CB914942}">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<sst xmlns="http://schemas.openxmlformats.org/spreadsheetml/2006/main" count="117" uniqueCount="104">
  <si>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</si>
  <si>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</si>
  <si>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</si>
  <si>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</si>
  <si>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</si>
  <si>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</si>
  <si>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</si>
  <si>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</si>
  <si>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</si>
  <si>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</si>
  <si>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</si>
  <si>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</si>
  <si>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</si>
  <si>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</si>
  <si>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</si>
  <si>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</si>
  <si>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</si>
  <si>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</si>
  <si>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</si>
  <si>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</si>
  <si>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</si>
  <si>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</si>
  <si>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</si>
  <si>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</si>
  <si>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</si>
  <si>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</si>
  <si>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</si>
  <si>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</si>
  <si>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</si>
  <si>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</si>
  <si>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</si>
  <si>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</si>
  <si>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</si>
  <si>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</si>
  <si>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</si>
  <si>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</si>
  <si>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</si>
  <si>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</si>
  <si>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</si>
  <si>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</si>
  <si>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</si>
  <si>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</si>
  <si>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</si>
  <si>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</si>
  <si>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</si>
  <si>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</si>
  <si>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</si>
  <si>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</si>
  <si>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</si>
  <si>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</si>
  <si>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</si>
  <si>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</si>
  <si>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</si>
  <si>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</si>
  <si>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</si>
  <si>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</si>
  <si>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</si>
  <si>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</si>
  <si>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</si>
  <si>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</si>
  <si>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</si>
  <si>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</si>
  <si>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</si>
  <si>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</si>
  <si>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</si>
  <si>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</si>
  <si>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</si>
  <si>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</si>
  <si>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</si>
  <si>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</si>
  <si>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Fill in the control distance.  The opening and closing times will be automatically calculated based on the start time and the brevet distance.  If you need more than 10 controls, or need an alternate start loction, use card #2, otherwise leave that section blank. (Similarly for cards #3 and #4.)</t>
  </si>
  <si>
    <t>Early Bird Chili</t>
  </si>
  <si>
    <t>SAANICH</t>
  </si>
  <si>
    <t>STAFFED</t>
  </si>
  <si>
    <t>4958 Highgate</t>
  </si>
  <si>
    <t>VICTORIA</t>
  </si>
  <si>
    <t>Niagara Bus Loop</t>
  </si>
  <si>
    <t>Dallas Rd @ Niagara St</t>
  </si>
  <si>
    <t>CENTRAL SAANICH</t>
  </si>
  <si>
    <t>INFORMATION</t>
  </si>
  <si>
    <t>Stop sign</t>
  </si>
  <si>
    <t>Welch Rd @ Maritndale Rd</t>
  </si>
  <si>
    <t>NORTH SAANICH</t>
  </si>
  <si>
    <t>Moses Pt Rd @ Lands End Rd</t>
  </si>
  <si>
    <t>LANGFORD</t>
  </si>
  <si>
    <t>Happy Valley Market</t>
  </si>
  <si>
    <t>3431 Happy Valley Rd</t>
  </si>
  <si>
    <t>Lost Airmen of the Empire Park</t>
  </si>
  <si>
    <t>The Flight Path</t>
  </si>
  <si>
    <t xml:space="preserve">Turnstone Rd side (right) </t>
  </si>
  <si>
    <t>BIKE RACK      BENCH       PICNIC TABLE</t>
  </si>
  <si>
    <t>Steel feathers on Mills Rd side of path</t>
  </si>
  <si>
    <t>How many?</t>
  </si>
  <si>
    <t>TWO       THREE      FOUR</t>
  </si>
  <si>
    <t>Bollards at cut to Niagara St</t>
  </si>
  <si>
    <t>How many stripes on each?</t>
  </si>
  <si>
    <t>NONE       ONE.      THREE</t>
  </si>
  <si>
    <t>Back of stop sign</t>
  </si>
  <si>
    <t>Is there a ???? (circle if yes)</t>
  </si>
  <si>
    <t>Green/yellow  label</t>
  </si>
  <si>
    <t>??___________SIGN??</t>
  </si>
  <si>
    <t>NE corner (Beachcomber RV sign)</t>
  </si>
  <si>
    <t>Top of power pole.  Number on wires?</t>
  </si>
  <si>
    <t>24____?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</si>
</sst>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6"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5">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Protection="1"/>
    <xf numFmtId="0" fontId="0" fillId="0" borderId="0"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10" fillId="0" borderId="0" xfId="0" applyFont="1" applyBorder="1" applyAlignment="1" applyProtection="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Border="1" applyAlignment="1">
      <alignment horizontal="center"/>
    </xf>
    <xf numFmtId="0" fontId="10" fillId="0" borderId="0" xfId="0" applyFont="1" applyBorder="1" applyAlignment="1">
      <alignment horizontal="center"/>
    </xf>
    <xf numFmtId="18" fontId="20" fillId="0" borderId="0" xfId="0" applyNumberFormat="1" applyFont="1" applyBorder="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0" fontId="10" fillId="0" borderId="0" xfId="0" applyFont="1" applyAlignment="1">
      <alignment horizontal="center"/>
    </xf>
    <xf numFmtId="167" fontId="0" fillId="0" borderId="0" xfId="0" applyNumberFormat="1"/>
    <xf numFmtId="0" fontId="9" fillId="0" borderId="0" xfId="0" applyFont="1" applyAlignme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applyAlignment="1"/>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applyAlignment="1"/>
    <xf numFmtId="0" fontId="10" fillId="0" borderId="0" xfId="0" applyFont="1" applyAlignment="1">
      <alignment horizontal="right"/>
    </xf>
    <xf numFmtId="0" fontId="10" fillId="0" borderId="0" xfId="0" applyFont="1" applyBorder="1" applyAlignme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11" fillId="0" borderId="0" xfId="0" applyFont="1" applyAlignment="1">
      <alignment horizontal="right" vertical="center"/>
    </xf>
    <xf numFmtId="0" fontId="5" fillId="0" borderId="0" xfId="0" applyFont="1" applyBorder="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10" fillId="0" borderId="0" xfId="0" applyFont="1" applyAlignment="1" applyProtection="1">
      <alignment horizontal="right"/>
    </xf>
    <xf numFmtId="0" fontId="0" fillId="0" borderId="18" xfId="0" applyBorder="1" applyAlignment="1" applyProtection="1">
      <protection locked="0"/>
    </xf>
    <xf numFmtId="0" fontId="0" fillId="0" borderId="0" xfId="0" applyBorder="1" applyAlignment="1" applyProtection="1">
      <protection locked="0"/>
    </xf>
    <xf numFmtId="0" fontId="28" fillId="0" borderId="0" xfId="0" applyFont="1" applyAlignment="1">
      <alignment horizontal="right" vertical="center"/>
    </xf>
    <xf numFmtId="0" fontId="16" fillId="0" borderId="0" xfId="0" applyFont="1" applyAlignment="1">
      <alignment vertical="top"/>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left" vertical="center"/>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Border="1" applyAlignment="1" applyProtection="1">
      <alignment horizontal="center"/>
      <protection locked="0"/>
    </xf>
    <xf numFmtId="0" fontId="16" fillId="0" borderId="0" xfId="0" applyFont="1" applyAlignment="1">
      <alignment vertical="center" wrapText="1"/>
    </xf>
    <xf numFmtId="0" fontId="0" fillId="0" borderId="0" xfId="0" applyBorder="1" applyAlignment="1">
      <alignment horizontal="left"/>
    </xf>
    <xf numFmtId="0" fontId="5" fillId="0" borderId="0" xfId="0" applyFont="1" applyAlignment="1">
      <alignment horizontal="right" vertical="top"/>
    </xf>
    <xf numFmtId="15" fontId="5" fillId="0" borderId="0" xfId="0" applyNumberFormat="1" applyFont="1" applyBorder="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169" fontId="0" fillId="0" borderId="25" xfId="0" applyNumberFormat="1" applyBorder="1" applyAlignment="1" applyProtection="1">
      <alignment horizontal="left"/>
      <protection locked="0"/>
    </xf>
    <xf numFmtId="0" fontId="0" fillId="2" borderId="30" xfId="0" applyFill="1" applyBorder="1" applyAlignment="1">
      <alignment horizontal="right"/>
    </xf>
    <xf numFmtId="0" fontId="0" fillId="2" borderId="17" xfId="0" applyFill="1" applyBorder="1"/>
    <xf numFmtId="0" fontId="12" fillId="0" borderId="0" xfId="0" applyFont="1" applyBorder="1" applyAlignme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25" fillId="0" borderId="0" xfId="0" applyFont="1" applyAlignment="1">
      <alignment horizontal="center"/>
    </xf>
    <xf numFmtId="0" fontId="12" fillId="0" borderId="25" xfId="0" applyFont="1" applyBorder="1" applyAlignment="1" applyProtection="1">
      <alignment horizontal="center"/>
      <protection locked="0"/>
    </xf>
    <xf numFmtId="0" fontId="31" fillId="0" borderId="0" xfId="0" applyFont="1" applyAlignment="1">
      <alignment horizontal="left" vertical="top" wrapText="1"/>
    </xf>
    <xf numFmtId="0" fontId="30"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right" vertical="center"/>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10" fillId="0" borderId="0" xfId="0" applyFont="1" applyAlignment="1">
      <alignment horizontal="center"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Border="1" applyAlignment="1">
      <alignment horizontal="right"/>
    </xf>
    <xf numFmtId="0" fontId="10" fillId="0" borderId="0" xfId="0" applyFont="1" applyAlignment="1">
      <alignment horizontal="right"/>
    </xf>
    <xf numFmtId="0" fontId="6" fillId="0" borderId="20" xfId="0" applyFont="1" applyBorder="1" applyAlignment="1">
      <alignment horizontal="center"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9" fillId="0" borderId="0" xfId="0" applyFont="1" applyAlignment="1">
      <alignment horizontal="left" vertical="center"/>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showGridLines="0" tabSelected="1" zoomScale="140" zoomScaleNormal="140" zoomScalePageLayoutView="135" workbookViewId="0">
      <selection activeCell="B4" sqref="B4"/>
    </sheetView>
  </sheetViews>
  <sheetFormatPr baseColWidth="10" defaultColWidth="8.83203125" defaultRowHeight="13" x14ac:dyDescent="0.15"/>
  <cols>
    <col min="1" max="1" width="16.5" style="1" customWidth="1"/>
    <col min="2" max="2" width="10.83203125" customWidth="1"/>
    <col min="3" max="3" width="1" style="2"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16" t="s">
        <v>56</v>
      </c>
      <c r="B1" s="116"/>
      <c r="C1" s="116"/>
      <c r="D1" s="116"/>
      <c r="E1" s="116"/>
      <c r="F1" s="116"/>
      <c r="G1" s="116"/>
      <c r="H1" s="49" t="s">
        <v>53</v>
      </c>
      <c r="Q1" s="118" t="s">
        <v>55</v>
      </c>
      <c r="R1" s="118"/>
      <c r="S1" s="118"/>
      <c r="T1" s="118"/>
      <c r="U1" s="118"/>
      <c r="V1" s="118"/>
      <c r="W1" s="118"/>
      <c r="X1" s="118"/>
      <c r="Y1" s="118"/>
      <c r="Z1" s="118"/>
      <c r="AA1" s="118"/>
      <c r="AB1" s="118"/>
      <c r="AC1" s="118"/>
      <c r="AD1" s="118"/>
      <c r="AE1" s="118"/>
      <c r="AF1" s="118"/>
      <c r="AG1" s="101"/>
    </row>
    <row r="2" spans="1:33" ht="13" customHeight="1" thickBot="1" x14ac:dyDescent="0.2">
      <c r="H2" s="50"/>
      <c r="I2" s="50"/>
      <c r="Q2" s="118"/>
      <c r="R2" s="118"/>
      <c r="S2" s="118"/>
      <c r="T2" s="118"/>
      <c r="U2" s="118"/>
      <c r="V2" s="118"/>
      <c r="W2" s="118"/>
      <c r="X2" s="118"/>
      <c r="Y2" s="118"/>
      <c r="Z2" s="118"/>
      <c r="AA2" s="118"/>
      <c r="AB2" s="118"/>
      <c r="AC2" s="118"/>
      <c r="AD2" s="118"/>
      <c r="AE2" s="118"/>
      <c r="AF2" s="118"/>
      <c r="AG2" s="101"/>
    </row>
    <row r="3" spans="1:33" s="55" customFormat="1" ht="13" customHeight="1" thickBot="1" x14ac:dyDescent="0.2">
      <c r="A3" s="53" t="s">
        <v>52</v>
      </c>
      <c r="B3" s="85">
        <v>45167</v>
      </c>
      <c r="C3" s="54"/>
      <c r="D3" s="54"/>
      <c r="G3" s="54"/>
      <c r="H3" s="56"/>
      <c r="I3" s="56"/>
      <c r="Q3" s="118"/>
      <c r="R3" s="118"/>
      <c r="S3" s="118"/>
      <c r="T3" s="118"/>
      <c r="U3" s="118"/>
      <c r="V3" s="118"/>
      <c r="W3" s="118"/>
      <c r="X3" s="118"/>
      <c r="Y3" s="118"/>
      <c r="Z3" s="118"/>
      <c r="AA3" s="118"/>
      <c r="AB3" s="118"/>
      <c r="AC3" s="118"/>
      <c r="AD3" s="118"/>
      <c r="AE3" s="118"/>
      <c r="AF3" s="118"/>
      <c r="AG3" s="101"/>
    </row>
    <row r="4" spans="1:33" ht="13" customHeight="1" x14ac:dyDescent="0.15">
      <c r="A4" s="47" t="s">
        <v>54</v>
      </c>
      <c r="B4" s="52">
        <v>45354</v>
      </c>
      <c r="C4" s="48"/>
      <c r="D4" s="48"/>
      <c r="G4" s="48"/>
      <c r="H4" s="50"/>
      <c r="I4" s="50"/>
      <c r="Q4" s="118"/>
      <c r="R4" s="118"/>
      <c r="S4" s="118"/>
      <c r="T4" s="118"/>
      <c r="U4" s="118"/>
      <c r="V4" s="118"/>
      <c r="W4" s="118"/>
      <c r="X4" s="118"/>
      <c r="Y4" s="118"/>
      <c r="Z4" s="118"/>
      <c r="AA4" s="118"/>
      <c r="AB4" s="118"/>
      <c r="AC4" s="118"/>
      <c r="AD4" s="118"/>
      <c r="AE4" s="118"/>
      <c r="AF4" s="118"/>
      <c r="AG4" s="101"/>
    </row>
    <row r="5" spans="1:33" ht="7" customHeight="1" thickBot="1" x14ac:dyDescent="0.2">
      <c r="H5" s="50"/>
      <c r="I5" s="50"/>
      <c r="Q5" s="101"/>
      <c r="R5" s="101"/>
      <c r="S5" s="101"/>
      <c r="T5" s="101"/>
      <c r="U5" s="101"/>
      <c r="V5" s="101"/>
      <c r="W5" s="101"/>
      <c r="X5" s="101"/>
      <c r="Y5" s="101"/>
      <c r="Z5" s="101"/>
      <c r="AA5" s="101"/>
      <c r="AB5" s="101"/>
      <c r="AC5" s="101"/>
      <c r="AD5" s="101"/>
      <c r="AE5" s="101"/>
      <c r="AF5" s="101"/>
      <c r="AG5" s="101"/>
    </row>
    <row r="6" spans="1:33" ht="18" x14ac:dyDescent="0.2">
      <c r="A6" s="10" t="s">
        <v>15</v>
      </c>
      <c r="B6" s="33">
        <v>200</v>
      </c>
      <c r="C6">
        <f>IF(Brevet_Length&gt;=1200,Brevet_Length,IF(Brevet_Length&gt;=1000,1000,IF(Brevet_Length&gt;=600,600,IF(Brevet_Length&gt;=400,400,IF(Brevet_Length&gt;=300,300,IF(Brevet_Length&gt;=200,200,100))))))</f>
        <v>200</v>
      </c>
      <c r="J6" s="119" t="s">
        <v>40</v>
      </c>
      <c r="K6" s="119"/>
      <c r="Q6" s="99" t="s">
        <v>41</v>
      </c>
      <c r="R6" s="99"/>
      <c r="S6" s="99"/>
      <c r="T6" s="99"/>
      <c r="U6" s="99"/>
      <c r="V6" s="99"/>
      <c r="W6" s="99"/>
      <c r="X6" s="100"/>
      <c r="Y6" s="100"/>
      <c r="Z6" s="100"/>
    </row>
    <row r="7" spans="1:33" ht="14" x14ac:dyDescent="0.15">
      <c r="A7" s="11" t="s">
        <v>16</v>
      </c>
      <c r="B7" s="97">
        <f>IF(brevet=1200,90,IF(brevet=1000,75,IF(brevet=600,40,IF(brevet=400,27,IF(brevet=300,20,IF(brevet=200,13.5,IF(brevet&lt;200,L7,0)))))))</f>
        <v>13.5</v>
      </c>
      <c r="L7">
        <f>IF(Brevet_Length=150,10.5,IF(Brevet_Length=100,7,IF(Brevet_Length=50,3.5,IF(Brevet_Length=25, 2,0))))</f>
        <v>0</v>
      </c>
      <c r="Q7" s="100" t="s">
        <v>42</v>
      </c>
      <c r="R7" s="100"/>
      <c r="S7" s="100"/>
      <c r="T7" s="100"/>
      <c r="U7" s="100"/>
      <c r="V7" s="100"/>
      <c r="W7" s="100"/>
      <c r="X7" s="100"/>
      <c r="Y7" s="100"/>
      <c r="Z7" s="100"/>
    </row>
    <row r="8" spans="1:33" ht="18" x14ac:dyDescent="0.2">
      <c r="A8" s="96" t="s">
        <v>17</v>
      </c>
      <c r="B8" s="117" t="s">
        <v>71</v>
      </c>
      <c r="C8" s="117"/>
      <c r="D8" s="117"/>
      <c r="E8" s="117"/>
      <c r="F8" s="117"/>
      <c r="G8" s="98"/>
      <c r="H8" s="98"/>
      <c r="I8" s="18"/>
      <c r="J8" s="18"/>
      <c r="K8" s="18"/>
      <c r="O8" s="19"/>
      <c r="P8" s="19"/>
      <c r="Q8" s="99" t="s">
        <v>43</v>
      </c>
      <c r="R8" s="100"/>
      <c r="S8" s="100"/>
      <c r="T8" s="100"/>
      <c r="U8" s="100"/>
      <c r="V8" s="100"/>
      <c r="W8" s="100"/>
      <c r="X8" s="100"/>
      <c r="Y8" s="100"/>
      <c r="Z8" s="100"/>
    </row>
    <row r="9" spans="1:33" ht="18" x14ac:dyDescent="0.2">
      <c r="A9" s="11" t="s">
        <v>18</v>
      </c>
      <c r="B9" s="34">
        <v>5401</v>
      </c>
      <c r="C9" s="15"/>
      <c r="F9" s="16"/>
      <c r="G9" s="16"/>
      <c r="H9" s="16"/>
      <c r="I9" s="16"/>
      <c r="J9" s="16"/>
      <c r="K9" s="16"/>
      <c r="Q9" s="99" t="s">
        <v>44</v>
      </c>
      <c r="R9" s="100"/>
      <c r="S9" s="100"/>
      <c r="T9" s="100"/>
      <c r="U9" s="100"/>
      <c r="V9" s="100"/>
      <c r="W9" s="100"/>
      <c r="X9" s="100"/>
      <c r="Y9" s="100"/>
      <c r="Z9" s="100"/>
    </row>
    <row r="10" spans="1:33" ht="18" x14ac:dyDescent="0.2">
      <c r="A10" s="21" t="s">
        <v>32</v>
      </c>
      <c r="B10" s="35">
        <v>45360</v>
      </c>
      <c r="E10" s="93" t="s">
        <v>67</v>
      </c>
      <c r="F10" s="95">
        <v>2502133724</v>
      </c>
      <c r="Q10" s="99" t="s">
        <v>45</v>
      </c>
      <c r="R10" s="100"/>
      <c r="S10" s="100"/>
      <c r="T10" s="100"/>
      <c r="U10" s="100"/>
      <c r="V10" s="100"/>
      <c r="W10" s="100"/>
      <c r="X10" s="100"/>
      <c r="Y10" s="100"/>
      <c r="Z10" s="100"/>
    </row>
    <row r="11" spans="1:33" ht="6" customHeight="1" x14ac:dyDescent="0.15">
      <c r="B11" s="51"/>
      <c r="Q11" s="100"/>
      <c r="R11" s="100"/>
      <c r="S11" s="100"/>
      <c r="T11" s="100"/>
      <c r="U11" s="100"/>
      <c r="V11" s="100"/>
      <c r="W11" s="100"/>
      <c r="X11" s="100"/>
      <c r="Y11" s="100"/>
      <c r="Z11" s="100"/>
    </row>
    <row r="12" spans="1:33" ht="18" customHeight="1" thickBot="1" x14ac:dyDescent="0.25">
      <c r="A12" s="45" t="s">
        <v>19</v>
      </c>
      <c r="B12" s="46">
        <v>45360</v>
      </c>
      <c r="Q12" s="99" t="s">
        <v>49</v>
      </c>
      <c r="R12" s="100"/>
      <c r="S12" s="100"/>
      <c r="T12" s="100"/>
      <c r="U12" s="100"/>
      <c r="V12" s="100"/>
      <c r="W12" s="100"/>
      <c r="X12" s="100"/>
      <c r="Y12" s="100"/>
      <c r="Z12" s="100"/>
    </row>
    <row r="13" spans="1:33" ht="19" thickBot="1" x14ac:dyDescent="0.25">
      <c r="A13" s="9" t="s">
        <v>20</v>
      </c>
      <c r="B13" s="36">
        <v>0.29166666666666669</v>
      </c>
      <c r="D13" s="120" t="s">
        <v>51</v>
      </c>
      <c r="E13" s="121"/>
      <c r="F13" s="121"/>
      <c r="G13" s="121"/>
      <c r="H13" s="121"/>
      <c r="I13" s="122" t="s">
        <v>47</v>
      </c>
      <c r="J13" s="121"/>
      <c r="K13" s="123"/>
      <c r="Q13" s="99" t="s">
        <v>48</v>
      </c>
      <c r="R13" s="100"/>
      <c r="S13" s="100"/>
      <c r="T13" s="100"/>
      <c r="U13" s="100"/>
      <c r="V13" s="100"/>
      <c r="W13" s="100"/>
      <c r="X13" s="100"/>
      <c r="Y13" s="100"/>
      <c r="Z13" s="100"/>
    </row>
    <row r="14" spans="1:33" ht="15" thickBot="1" x14ac:dyDescent="0.2">
      <c r="D14" s="5" t="s">
        <v>21</v>
      </c>
      <c r="E14" s="6" t="s">
        <v>22</v>
      </c>
      <c r="F14" s="27" t="s">
        <v>23</v>
      </c>
      <c r="G14" s="27" t="s">
        <v>24</v>
      </c>
      <c r="H14" s="28" t="s">
        <v>25</v>
      </c>
      <c r="I14" s="6" t="s">
        <v>37</v>
      </c>
      <c r="J14" s="6" t="s">
        <v>38</v>
      </c>
      <c r="K14" s="7" t="s">
        <v>39</v>
      </c>
      <c r="L14" t="s">
        <v>0</v>
      </c>
      <c r="M14" t="s">
        <v>1</v>
      </c>
      <c r="N14" t="s">
        <v>2</v>
      </c>
      <c r="O14" t="s">
        <v>3</v>
      </c>
      <c r="Q14" s="99" t="s">
        <v>68</v>
      </c>
      <c r="R14" s="100"/>
      <c r="S14" s="100"/>
      <c r="T14" s="100"/>
      <c r="U14" s="100"/>
      <c r="V14" s="100"/>
      <c r="W14" s="100"/>
      <c r="X14" s="100"/>
      <c r="Y14" s="100"/>
      <c r="Z14" s="100"/>
    </row>
    <row r="15" spans="1:33" ht="17" customHeight="1" x14ac:dyDescent="0.15">
      <c r="C15" s="2" t="s">
        <v>4</v>
      </c>
      <c r="D15" s="17">
        <v>0</v>
      </c>
      <c r="E15" s="37" t="s">
        <v>72</v>
      </c>
      <c r="F15" s="38" t="s">
        <v>73</v>
      </c>
      <c r="G15" s="38" t="s">
        <v>74</v>
      </c>
      <c r="H15" s="39"/>
      <c r="I15" s="38"/>
      <c r="J15" s="38"/>
      <c r="K15" s="39"/>
      <c r="L15" s="3">
        <f>Start_date+Start_time</f>
        <v>45360.291666666664</v>
      </c>
      <c r="M15" s="3">
        <f>L15+"1:00"</f>
        <v>45360.333333333328</v>
      </c>
      <c r="N15" s="4">
        <f>IF(ISBLANK(Distance),"",Open Control_1)</f>
        <v>45360.291666666664</v>
      </c>
      <c r="O15" s="4">
        <f>IF(ISBLANK(Distance),"",Close Control_1)</f>
        <v>45360.333333333328</v>
      </c>
      <c r="Q15" s="99" t="s">
        <v>70</v>
      </c>
      <c r="R15" s="100"/>
      <c r="S15" s="100"/>
      <c r="T15" s="100"/>
      <c r="U15" s="100"/>
      <c r="V15" s="100"/>
      <c r="W15" s="100"/>
      <c r="X15" s="100"/>
      <c r="Y15" s="100"/>
      <c r="Z15" s="100"/>
    </row>
    <row r="16" spans="1:33" ht="17" customHeight="1" x14ac:dyDescent="0.15">
      <c r="B16" s="42"/>
      <c r="C16" s="2" t="s">
        <v>5</v>
      </c>
      <c r="D16" s="17">
        <v>26.9</v>
      </c>
      <c r="E16" s="37" t="s">
        <v>75</v>
      </c>
      <c r="F16" s="38" t="s">
        <v>79</v>
      </c>
      <c r="G16" s="38" t="s">
        <v>76</v>
      </c>
      <c r="H16" s="39" t="s">
        <v>77</v>
      </c>
      <c r="I16" s="38" t="s">
        <v>94</v>
      </c>
      <c r="J16" s="38" t="s">
        <v>95</v>
      </c>
      <c r="K16" s="39" t="s">
        <v>96</v>
      </c>
      <c r="L16">
        <f>IF(ISBLANK(Distance),"",IF(Distance&gt;1000,(Distance-1000)/26+33.0847,(IF(Distance&gt;600,(Distance-600)/28+18.799,(IF(Distance&gt;400,(Distance-400)/30+12.1324,(IF(Distance&gt;200,(Distance-200)/32+5.8824,Distance/34))))))))</f>
        <v>0.79117647058823526</v>
      </c>
      <c r="M16">
        <f>IF(ISBLANK(Distance),"",IF(Distance&gt;=brevet,D16200IF(brevet&gt;1200,(brevet-1200)*75/1000+90,Max_time),IF(Distance&gt;1200,(Distance-1200)*75/1000+90,IF(Distance&gt;1000,(Distance-1000)/(1000/75)+75,IF(Distance&gt;600,(Distance-600)/(400/35)+40,IF(Distance&lt;=60,(Distance/20+1),Distance/15))))))</f>
        <v>2.3449999999999998</v>
      </c>
      <c r="N16" s="4">
        <f>IF(ISBLANK(Distance),"",Open_time Control_1+(INT(Open)&amp;":"&amp;IF(ROUND(((Open-INT(Open))*60),0)&lt;10,0,"")&amp;ROUND(((Open-INT(Open))*60),0)))</f>
        <v>45360.32430555555</v>
      </c>
      <c r="O16" s="4">
        <f>IF(ISBLANK(Distance),"",Open_time Control_1+(INT(Close)&amp;":"&amp;IF(ROUND(((Close-INT(Close))*60),0)&lt;10,0,"")&amp;ROUND(((Close-INT(Close))*60),0)))</f>
        <v>45360.38958333333</v>
      </c>
      <c r="Q16" s="99" t="s">
        <v>69</v>
      </c>
      <c r="R16" s="100"/>
      <c r="S16" s="100"/>
      <c r="T16" s="100"/>
      <c r="U16" s="100"/>
      <c r="V16" s="100"/>
      <c r="W16" s="100"/>
      <c r="X16" s="100"/>
      <c r="Y16" s="100"/>
      <c r="Z16" s="100"/>
    </row>
    <row r="17" spans="2:26" ht="17" customHeight="1" x14ac:dyDescent="0.15">
      <c r="B17" s="42"/>
      <c r="C17" s="2" t="s">
        <v>6</v>
      </c>
      <c r="D17" s="17">
        <v>54.9</v>
      </c>
      <c r="E17" s="37" t="s">
        <v>78</v>
      </c>
      <c r="F17" s="38" t="s">
        <v>79</v>
      </c>
      <c r="G17" s="38" t="s">
        <v>80</v>
      </c>
      <c r="H17" s="39" t="s">
        <v>81</v>
      </c>
      <c r="I17" s="38" t="s">
        <v>101</v>
      </c>
      <c r="J17" s="38" t="s">
        <v>102</v>
      </c>
      <c r="K17" s="39" t="s">
        <v>103</v>
      </c>
      <c r="L17">
        <f>IF(ISBLANK(Distance),"",IF(Distance&gt;1000,(Distance-1000)/26+33.0847,(IF(Distance&gt;600,(Distance-600)/28+18.799,(IF(Distance&gt;400,(Distance-400)/30+12.1324,(IF(Distance&gt;200,(Distance-200)/32+5.8824,Distance/34))))))))</f>
        <v>1.6147058823529412</v>
      </c>
      <c r="M17">
        <f t="shared" ref="M17:M24" si="0">IF(ISBLANK(Distance),"",IF(Distance&gt;=brevet,IF(brevet&gt;1200,(brevet-1200)*75/1000+90,Max_time),IF(Distance&gt;1200,(Distance-1200)*75/1000+90,IF(Distance&gt;1000,(Distance-1000)/(1000/75)+75,IF(Distance&gt;600,(Distance-600)/(400/35)+40,IF(Distance&lt;=60,(Distance/20+1),Distance/15))))))</f>
        <v>3.7450000000000001</v>
      </c>
      <c r="N17" s="4">
        <f>IF(ISBLANK(Distance),"",Open_time Control_1+(INT(Open)&amp;":"&amp;IF(ROUND(((Open-INT(Open))*60),0)&lt;10,0,"")&amp;ROUND(((Open-INT(Open))*60),0)))</f>
        <v>45360.359027777777</v>
      </c>
      <c r="O17" s="4">
        <f>IF(ISBLANK(Distance),"",Open_time Control_1+(INT(Close)&amp;":"&amp;IF(ROUND(((Close-INT(Close))*60),0)&lt;10,0,"")&amp;ROUND(((Close-INT(Close))*60),0)))</f>
        <v>45360.447916666664</v>
      </c>
      <c r="Q17" s="99" t="s">
        <v>46</v>
      </c>
      <c r="R17" s="100"/>
      <c r="S17" s="100"/>
      <c r="T17" s="100"/>
      <c r="U17" s="100"/>
      <c r="V17" s="100"/>
      <c r="W17" s="100"/>
      <c r="X17" s="100"/>
      <c r="Y17" s="100"/>
      <c r="Z17" s="100"/>
    </row>
    <row r="18" spans="2:26" ht="17" customHeight="1" x14ac:dyDescent="0.15">
      <c r="B18" s="42"/>
      <c r="C18" s="2" t="s">
        <v>7</v>
      </c>
      <c r="D18" s="17">
        <v>78.5</v>
      </c>
      <c r="E18" s="37" t="s">
        <v>82</v>
      </c>
      <c r="F18" s="38" t="s">
        <v>79</v>
      </c>
      <c r="G18" s="38" t="s">
        <v>80</v>
      </c>
      <c r="H18" s="39" t="s">
        <v>83</v>
      </c>
      <c r="I18" s="38" t="s">
        <v>97</v>
      </c>
      <c r="J18" s="38" t="s">
        <v>99</v>
      </c>
      <c r="K18" s="39" t="s">
        <v>100</v>
      </c>
      <c r="L18">
        <f t="shared" ref="L18:L24" si="1">IF(ISBLANK(Distance),"",IF(Distance&gt;1000,(Distance-1000)/26+33.0847,(IF(Distance&gt;600,(Distance-600)/28+18.799,(IF(Distance&gt;400,(Distance-400)/30+12.1324,(IF(Distance&gt;200,(Distance-200)/32+5.8824,Distance/34))))))))</f>
        <v>2.3088235294117645</v>
      </c>
      <c r="M18">
        <f t="shared" si="0"/>
        <v>5.2333333333333334</v>
      </c>
      <c r="N18" s="4">
        <f>IF(ISBLANK(Distance),"",Open_time Control_1+(INT(Open)&amp;":"&amp;IF(ROUND(((Open-INT(Open))*60),0)&lt;10,0,"")&amp;ROUND(((Open-INT(Open))*60),0)))</f>
        <v>45360.388194444444</v>
      </c>
      <c r="O18" s="4">
        <f>IF(ISBLANK(Distance),"",Open_time Control_1+(INT(Close)&amp;":"&amp;IF(ROUND(((Close-INT(Close))*60),0)&lt;10,0,"")&amp;ROUND(((Close-INT(Close))*60),0)))</f>
        <v>45360.509722222218</v>
      </c>
    </row>
    <row r="19" spans="2:26" ht="17" customHeight="1" x14ac:dyDescent="0.15">
      <c r="B19" s="42"/>
      <c r="C19" s="2" t="s">
        <v>8</v>
      </c>
      <c r="D19" s="17">
        <v>128.4</v>
      </c>
      <c r="E19" s="37" t="s">
        <v>84</v>
      </c>
      <c r="F19" s="38" t="s">
        <v>79</v>
      </c>
      <c r="G19" s="38" t="s">
        <v>85</v>
      </c>
      <c r="H19" s="39" t="s">
        <v>86</v>
      </c>
      <c r="I19" s="38" t="s">
        <v>89</v>
      </c>
      <c r="J19" s="38" t="s">
        <v>98</v>
      </c>
      <c r="K19" s="39" t="s">
        <v>90</v>
      </c>
      <c r="L19">
        <f t="shared" si="1"/>
        <v>3.7764705882352945</v>
      </c>
      <c r="M19">
        <f t="shared" si="0"/>
        <v>8.56</v>
      </c>
      <c r="N19" s="4">
        <f>IF(ISBLANK(Distance),"",Open_time Control_1+(INT(Open)&amp;":"&amp;IF(ROUND(((Open-INT(Open))*60),0)&lt;10,0,"")&amp;ROUND(((Open-INT(Open))*60),0)))</f>
        <v>45360.44930555555</v>
      </c>
      <c r="O19" s="4">
        <f>IF(ISBLANK(Distance),"",Open_time Control_1+(INT(Close)&amp;":"&amp;IF(ROUND(((Close-INT(Close))*60),0)&lt;10,0,"")&amp;ROUND(((Close-INT(Close))*60),0)))</f>
        <v>45360.648611111108</v>
      </c>
      <c r="Q19" s="44"/>
    </row>
    <row r="20" spans="2:26" ht="17" customHeight="1" x14ac:dyDescent="0.15">
      <c r="B20" s="42"/>
      <c r="C20" s="2" t="s">
        <v>9</v>
      </c>
      <c r="D20" s="17">
        <v>179.5</v>
      </c>
      <c r="E20" s="37" t="s">
        <v>82</v>
      </c>
      <c r="F20" s="38" t="s">
        <v>79</v>
      </c>
      <c r="G20" s="38" t="s">
        <v>87</v>
      </c>
      <c r="H20" s="39" t="s">
        <v>88</v>
      </c>
      <c r="I20" s="38" t="s">
        <v>91</v>
      </c>
      <c r="J20" s="38" t="s">
        <v>92</v>
      </c>
      <c r="K20" s="39" t="s">
        <v>93</v>
      </c>
      <c r="L20">
        <f t="shared" si="1"/>
        <v>5.2794117647058822</v>
      </c>
      <c r="M20">
        <f t="shared" si="0"/>
        <v>11.966666666666667</v>
      </c>
      <c r="N20" s="4">
        <f>IF(ISBLANK(Distance),"",Open_time Control_1+(INT(Open)&amp;":"&amp;IF(ROUND(((Open-INT(Open))*60),0)&lt;10,0,"")&amp;ROUND(((Open-INT(Open))*60),0)))</f>
        <v>45360.51180555555</v>
      </c>
      <c r="O20" s="4">
        <f>IF(ISBLANK(Distance),"",Open_time Control_1+(INT(Close)&amp;":"&amp;IF(ROUND(((Close-INT(Close))*60),0)&lt;10,0,"")&amp;ROUND(((Close-INT(Close))*60),0)))</f>
        <v>45360.790277777778</v>
      </c>
    </row>
    <row r="21" spans="2:26" ht="17" customHeight="1" x14ac:dyDescent="0.15">
      <c r="B21" s="42"/>
      <c r="C21" s="2" t="s">
        <v>10</v>
      </c>
      <c r="D21" s="17">
        <v>201</v>
      </c>
      <c r="E21" s="37" t="s">
        <v>72</v>
      </c>
      <c r="F21" s="38" t="s">
        <v>73</v>
      </c>
      <c r="G21" s="38" t="s">
        <v>74</v>
      </c>
      <c r="H21" s="39"/>
      <c r="I21" s="38"/>
      <c r="J21" s="38"/>
      <c r="K21" s="39"/>
      <c r="L21">
        <f t="shared" si="1"/>
        <v>5.9136499999999996</v>
      </c>
      <c r="M21">
        <f t="shared" si="0"/>
        <v>13.5</v>
      </c>
      <c r="N21" s="4">
        <f>IF(ISBLANK(Distance),"",Open_time Control_1+(INT(Open)&amp;":"&amp;IF(ROUND(((Open-INT(Open))*60),0)&lt;10,0,"")&amp;ROUND(((Open-INT(Open))*60),0)))</f>
        <v>45360.538194444445</v>
      </c>
      <c r="O21" s="4">
        <f>IF(ISBLANK(Distance),"",Open_time Control_1+(INT(Close)&amp;":"&amp;IF(ROUND(((Close-INT(Close))*60),0)&lt;10,0,"")&amp;ROUND(((Close-INT(Close))*60),0)))</f>
        <v>45360.854166666664</v>
      </c>
    </row>
    <row r="22" spans="2:26" ht="17" customHeight="1" x14ac:dyDescent="0.15">
      <c r="B22" s="42"/>
      <c r="C22" s="2" t="s">
        <v>11</v>
      </c>
      <c r="D22" s="17"/>
      <c r="E22" s="37"/>
      <c r="F22" s="38"/>
      <c r="G22" s="38"/>
      <c r="H22" s="39"/>
      <c r="I22" s="38"/>
      <c r="J22" s="38"/>
      <c r="K22" s="39"/>
      <c r="L22" t="str">
        <f t="shared" si="1"/>
        <v/>
      </c>
      <c r="M22" t="str">
        <f t="shared" si="0"/>
        <v/>
      </c>
      <c r="N22" s="4" t="str">
        <f>IF(ISBLANK(Distance),"",Open_time Control_1+(INT(Open)&amp;":"&amp;IF(ROUND(((Open-INT(Open))*60),0)&lt;10,0,"")&amp;ROUND(((Open-INT(Open))*60),0)))</f>
        <v/>
      </c>
      <c r="O22" s="4" t="str">
        <f>IF(ISBLANK(Distance),"",Open_time Control_1+(INT(Close)&amp;":"&amp;IF(ROUND(((Close-INT(Close))*60),0)&lt;10,0,"")&amp;ROUND(((Close-INT(Close))*60),0)))</f>
        <v/>
      </c>
    </row>
    <row r="23" spans="2:26" ht="17" customHeight="1" x14ac:dyDescent="0.15">
      <c r="B23" s="42"/>
      <c r="C23" s="2" t="s">
        <v>12</v>
      </c>
      <c r="D23" s="17"/>
      <c r="E23" s="37"/>
      <c r="F23" s="38"/>
      <c r="G23" s="38"/>
      <c r="H23" s="39"/>
      <c r="I23" s="38"/>
      <c r="J23" s="38"/>
      <c r="K23" s="39"/>
      <c r="L23" t="str">
        <f t="shared" si="1"/>
        <v/>
      </c>
      <c r="M23" t="str">
        <f t="shared" si="0"/>
        <v/>
      </c>
      <c r="N23" s="4" t="str">
        <f>IF(ISBLANK(Distance),"",Open_time Control_1+(INT(Open)&amp;":"&amp;IF(ROUND(((Open-INT(Open))*60),0)&lt;10,0,"")&amp;ROUND(((Open-INT(Open))*60),0)))</f>
        <v/>
      </c>
      <c r="O23" s="4" t="str">
        <f>IF(ISBLANK(Distance),"",Open_time Control_1+(INT(Close)&amp;":"&amp;IF(ROUND(((Close-INT(Close))*60),0)&lt;10,0,"")&amp;ROUND(((Close-INT(Close))*60),0)))</f>
        <v/>
      </c>
    </row>
    <row r="24" spans="2:26" ht="17" customHeight="1" thickBot="1" x14ac:dyDescent="0.2">
      <c r="B24" s="42"/>
      <c r="C24" s="2" t="s">
        <v>13</v>
      </c>
      <c r="D24" s="23"/>
      <c r="E24" s="40"/>
      <c r="F24" s="38"/>
      <c r="G24" s="38"/>
      <c r="H24" s="39"/>
      <c r="I24" s="38"/>
      <c r="J24" s="38"/>
      <c r="K24" s="39"/>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25">
      <c r="D25" s="29"/>
      <c r="E25" s="30"/>
      <c r="F25" s="31"/>
      <c r="G25" s="31"/>
      <c r="H25" s="31"/>
      <c r="I25" s="31"/>
      <c r="J25" s="31"/>
      <c r="K25" s="32"/>
      <c r="N25" s="4"/>
      <c r="O25" s="4"/>
    </row>
  </sheetData>
  <sheetProtection formatCells="0" selectLockedCells="1"/>
  <mergeCells count="6">
    <mergeCell ref="A1:G1"/>
    <mergeCell ref="B8:F8"/>
    <mergeCell ref="Q1:AF4"/>
    <mergeCell ref="J6:K6"/>
    <mergeCell ref="D13:H13"/>
    <mergeCell ref="I13:K13"/>
  </mergeCells>
  <phoneticPr fontId="13"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view="pageLayout" zoomScale="75" zoomScaleNormal="115" zoomScalePageLayoutView="75" workbookViewId="0">
      <selection activeCell="B22" sqref="B22"/>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24" t="s">
        <v>33</v>
      </c>
      <c r="D2" s="124"/>
      <c r="E2" s="124"/>
      <c r="F2" s="124"/>
      <c r="G2" s="63"/>
      <c r="H2" s="63"/>
      <c r="I2" s="91" t="s">
        <v>59</v>
      </c>
      <c r="J2" s="92">
        <f>'Control Entry'!B4</f>
        <v>45354</v>
      </c>
      <c r="K2" s="63"/>
      <c r="L2" s="63"/>
    </row>
    <row r="3" spans="2:15" ht="45" customHeight="1" x14ac:dyDescent="0.45">
      <c r="D3" s="12"/>
      <c r="E3" s="133" t="s">
        <v>29</v>
      </c>
      <c r="F3" s="133"/>
      <c r="G3" s="133"/>
      <c r="H3" s="133"/>
      <c r="I3" s="76" t="s">
        <v>61</v>
      </c>
      <c r="J3" s="84">
        <f>IF(ISBLANK(Brevet_Number),"",Brevet_Number)</f>
        <v>5401</v>
      </c>
      <c r="K3" s="43"/>
      <c r="L3" s="43"/>
    </row>
    <row r="4" spans="2:15" ht="20" customHeight="1" x14ac:dyDescent="0.15">
      <c r="C4" s="12"/>
      <c r="E4" s="134" t="str">
        <f>IF(ISBLANK(Brevet_Length),"",Brevet_Length&amp;" km Randonnée")</f>
        <v>200 km Randonnée</v>
      </c>
      <c r="F4" s="134"/>
      <c r="G4" s="134"/>
      <c r="H4" s="134"/>
      <c r="K4" s="58"/>
      <c r="L4" s="58"/>
    </row>
    <row r="5" spans="2:15" ht="20" customHeight="1" x14ac:dyDescent="0.2">
      <c r="D5" s="59"/>
      <c r="E5" s="132" t="str">
        <f>IF(ISBLANK(Brevet_Description),"",Brevet_Description)</f>
        <v>Early Bird Chili</v>
      </c>
      <c r="F5" s="132"/>
      <c r="G5" s="132"/>
      <c r="H5" s="132"/>
      <c r="I5" s="87"/>
      <c r="J5" s="59"/>
      <c r="K5" s="59"/>
      <c r="L5" s="59"/>
    </row>
    <row r="6" spans="2:15" ht="20" x14ac:dyDescent="0.2">
      <c r="D6" s="77"/>
      <c r="E6" s="132"/>
      <c r="F6" s="132"/>
      <c r="G6" s="132"/>
      <c r="H6" s="132"/>
      <c r="I6" s="87"/>
      <c r="J6" s="77"/>
      <c r="K6" s="59"/>
      <c r="L6" s="59"/>
    </row>
    <row r="7" spans="2:15" ht="25" customHeight="1" x14ac:dyDescent="0.15">
      <c r="C7" s="128"/>
      <c r="D7" s="128"/>
      <c r="E7" s="128"/>
      <c r="F7" s="128"/>
      <c r="H7" s="130"/>
    </row>
    <row r="8" spans="2:15" ht="21" thickBot="1" x14ac:dyDescent="0.25">
      <c r="B8" s="60" t="s">
        <v>62</v>
      </c>
      <c r="C8" s="129"/>
      <c r="D8" s="129"/>
      <c r="E8" s="129"/>
      <c r="F8" s="129"/>
      <c r="G8" s="20" t="s">
        <v>31</v>
      </c>
      <c r="H8" s="131"/>
      <c r="I8" s="61"/>
      <c r="J8" s="61"/>
      <c r="K8" s="61"/>
      <c r="L8" s="19"/>
    </row>
    <row r="9" spans="2:15" ht="22" customHeight="1" x14ac:dyDescent="0.15">
      <c r="B9" s="78"/>
      <c r="C9" s="78"/>
      <c r="D9" s="78"/>
      <c r="E9" s="78"/>
      <c r="F9" s="79"/>
      <c r="G9" s="80"/>
      <c r="H9" s="80"/>
      <c r="I9" s="80"/>
      <c r="J9" s="79"/>
    </row>
    <row r="10" spans="2:15" ht="20" customHeight="1" x14ac:dyDescent="0.15">
      <c r="B10" s="126" t="s">
        <v>34</v>
      </c>
      <c r="C10" s="126"/>
      <c r="D10" s="72" t="s">
        <v>35</v>
      </c>
      <c r="E10" s="127" t="s">
        <v>58</v>
      </c>
      <c r="F10" s="127"/>
      <c r="G10" s="127"/>
      <c r="H10" s="83"/>
      <c r="I10" s="67"/>
      <c r="J10" s="67"/>
      <c r="K10" s="22"/>
      <c r="L10" s="135"/>
      <c r="M10" s="135"/>
      <c r="N10" s="135"/>
      <c r="O10" s="135"/>
    </row>
    <row r="11" spans="2:15" ht="23" x14ac:dyDescent="0.15">
      <c r="B11" s="66"/>
      <c r="C11" s="66"/>
      <c r="D11" s="66"/>
      <c r="E11" s="66"/>
      <c r="F11" s="62"/>
      <c r="G11" s="68"/>
      <c r="H11" s="68"/>
      <c r="I11" s="68"/>
      <c r="J11" s="62"/>
    </row>
    <row r="12" spans="2:15" ht="21" thickBot="1" x14ac:dyDescent="0.25">
      <c r="D12" s="149" t="s">
        <v>19</v>
      </c>
      <c r="E12" s="149"/>
      <c r="F12" s="82">
        <f>IF(ISBLANK('Control Entry'!B12),"",'Control Entry'!B12)</f>
        <v>45360</v>
      </c>
      <c r="G12" s="86"/>
      <c r="H12" s="73" t="s">
        <v>64</v>
      </c>
      <c r="I12" s="81">
        <f>IF(ISBLANK('Control Entry'!B13),"",'Control Entry'!B13)</f>
        <v>0.29166666666666669</v>
      </c>
      <c r="J12" s="26"/>
    </row>
    <row r="13" spans="2:15" ht="20" x14ac:dyDescent="0.2">
      <c r="D13" s="25"/>
      <c r="E13" s="25"/>
      <c r="F13" s="24"/>
      <c r="G13" s="24"/>
      <c r="H13" s="24"/>
      <c r="J13" s="19"/>
      <c r="K13" s="14"/>
      <c r="L13" s="26"/>
      <c r="M13" s="26"/>
      <c r="N13" s="26"/>
      <c r="O13" s="19"/>
    </row>
    <row r="14" spans="2:15" ht="21" thickBot="1" x14ac:dyDescent="0.25">
      <c r="D14" s="150" t="s">
        <v>63</v>
      </c>
      <c r="E14" s="150"/>
      <c r="F14" s="82"/>
      <c r="G14" s="86"/>
      <c r="H14" s="73" t="s">
        <v>65</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66</v>
      </c>
      <c r="I16" s="81"/>
      <c r="J16" s="26"/>
      <c r="K16" s="13"/>
      <c r="L16" s="75"/>
      <c r="M16" s="75"/>
      <c r="N16" s="75"/>
    </row>
    <row r="17" spans="2:15" ht="20" x14ac:dyDescent="0.15">
      <c r="C17" s="151" t="s">
        <v>14</v>
      </c>
      <c r="D17" s="151"/>
      <c r="E17" s="151"/>
      <c r="F17" s="151"/>
      <c r="G17" s="22"/>
      <c r="H17" s="22"/>
      <c r="I17" s="145"/>
      <c r="J17" s="145"/>
      <c r="K17" s="22"/>
      <c r="L17" s="135"/>
      <c r="M17" s="135"/>
      <c r="N17" s="135"/>
      <c r="O17" s="135"/>
    </row>
    <row r="18" spans="2:15" ht="6" customHeight="1" thickBot="1" x14ac:dyDescent="0.2">
      <c r="B18" s="69"/>
      <c r="C18" s="69"/>
      <c r="D18" s="69"/>
      <c r="E18" s="69"/>
      <c r="F18" s="70"/>
      <c r="G18" s="71"/>
      <c r="H18" s="71"/>
      <c r="I18" s="71"/>
      <c r="J18" s="70"/>
    </row>
    <row r="19" spans="2:15" ht="22" thickTop="1" thickBot="1" x14ac:dyDescent="0.2">
      <c r="B19" s="125" t="s">
        <v>50</v>
      </c>
      <c r="C19" s="125"/>
      <c r="D19" s="125"/>
      <c r="E19" s="125"/>
      <c r="F19" s="125"/>
      <c r="G19" s="125"/>
      <c r="H19" s="125"/>
      <c r="I19" s="125"/>
      <c r="J19" s="125"/>
    </row>
    <row r="20" spans="2:15" ht="20" thickBot="1" x14ac:dyDescent="0.25">
      <c r="B20" s="57" t="s">
        <v>26</v>
      </c>
      <c r="C20" s="8" t="s">
        <v>0</v>
      </c>
      <c r="D20" s="8" t="s">
        <v>1</v>
      </c>
      <c r="E20" s="8" t="s">
        <v>22</v>
      </c>
      <c r="F20" s="8" t="s">
        <v>27</v>
      </c>
      <c r="G20" s="146" t="s">
        <v>36</v>
      </c>
      <c r="H20" s="147"/>
      <c r="I20" s="148"/>
      <c r="J20" s="57" t="s">
        <v>28</v>
      </c>
    </row>
    <row r="21" spans="2:15" ht="40" customHeight="1" x14ac:dyDescent="0.25">
      <c r="B21" s="102"/>
      <c r="C21" s="114">
        <f>Control_1 Open_time</f>
        <v>45360.291666666664</v>
      </c>
      <c r="D21" s="114">
        <f>Control_1 Close_time</f>
        <v>45360.333333333328</v>
      </c>
      <c r="E21" s="103"/>
      <c r="F21" s="104" t="str">
        <f>IF(ISBLANK(Control_1 Establishment_1),"",Control_1 Establishment_1)</f>
        <v>STAFFED</v>
      </c>
      <c r="G21" s="139" t="str">
        <f>IF(ISBLANK('Control Entry'!I15),"",'Control Entry'!I15)</f>
        <v/>
      </c>
      <c r="H21" s="140"/>
      <c r="I21" s="141"/>
      <c r="J21" s="105"/>
    </row>
    <row r="22" spans="2:15" ht="40" customHeight="1" x14ac:dyDescent="0.25">
      <c r="B22" s="106">
        <f>IF(ISBLANK(Distance Control_1),"",Control_1 Distance)</f>
        <v>0</v>
      </c>
      <c r="C22" s="107">
        <f>Control_1 Open_time</f>
        <v>45360.291666666664</v>
      </c>
      <c r="D22" s="107">
        <f>Control_1 Close_time</f>
        <v>45360.333333333328</v>
      </c>
      <c r="E22" s="104" t="str">
        <f>IF(ISBLANK(Locale Control_1),"",Locale Control_1)</f>
        <v>SAANICH</v>
      </c>
      <c r="F22" s="104" t="str">
        <f>IF(ISBLANK(Control_1 Establishment_2),"",Control_1 Establishment_2)</f>
        <v>4958 Highgate</v>
      </c>
      <c r="G22" s="142" t="str">
        <f>IF(ISBLANK('Control Entry'!J15),"",'Control Entry'!J15)</f>
        <v/>
      </c>
      <c r="H22" s="143"/>
      <c r="I22" s="144"/>
      <c r="J22" s="108"/>
    </row>
    <row r="23" spans="2:15" ht="40" customHeight="1" thickBot="1" x14ac:dyDescent="0.3">
      <c r="B23" s="109"/>
      <c r="C23" s="115">
        <f>Control_1 Open_time</f>
        <v>45360.291666666664</v>
      </c>
      <c r="D23" s="115">
        <f>Control_1 Close_time</f>
        <v>45360.333333333328</v>
      </c>
      <c r="E23" s="110"/>
      <c r="F23" s="111" t="str">
        <f>IF(ISBLANK(Control_1 Establishment_3),"",Control_1 Establishment_3)</f>
        <v/>
      </c>
      <c r="G23" s="136" t="str">
        <f>IF(ISBLANK('Control Entry'!K15),"",'Control Entry'!K15)</f>
        <v/>
      </c>
      <c r="H23" s="137"/>
      <c r="I23" s="138"/>
      <c r="J23" s="112"/>
    </row>
    <row r="24" spans="2:15" ht="40" customHeight="1" x14ac:dyDescent="0.25">
      <c r="B24" s="102"/>
      <c r="C24" s="114">
        <f>Control_2 Open_time</f>
        <v>45360.32430555555</v>
      </c>
      <c r="D24" s="114">
        <f>Control_2 Close_time</f>
        <v>45360.38958333333</v>
      </c>
      <c r="E24" s="113"/>
      <c r="F24" s="104" t="str">
        <f>IF(ISBLANK(Control_2 Establishment_1),"",Control_2 Establishment_1)</f>
        <v>INFORMATION</v>
      </c>
      <c r="G24" s="139" t="str">
        <f>IF(ISBLANK('Control Entry'!I16),"",'Control Entry'!I16)</f>
        <v>Bollards at cut to Niagara St</v>
      </c>
      <c r="H24" s="140"/>
      <c r="I24" s="141"/>
      <c r="J24" s="105"/>
    </row>
    <row r="25" spans="2:15" ht="40" customHeight="1" x14ac:dyDescent="0.25">
      <c r="B25" s="106">
        <f>IF(ISBLANK(Distance Control_2),"",Control_2 Distance)</f>
        <v>26.9</v>
      </c>
      <c r="C25" s="107">
        <f>Control_2 Open_time</f>
        <v>45360.32430555555</v>
      </c>
      <c r="D25" s="107">
        <f>Control_2 Close_time</f>
        <v>45360.38958333333</v>
      </c>
      <c r="E25" s="104" t="str">
        <f>IF(ISBLANK(Locale Control_2),"",Locale Control_2)</f>
        <v>VICTORIA</v>
      </c>
      <c r="F25" s="104" t="str">
        <f>IF(ISBLANK(Control_2 Establishment_2),"",Control_2 Establishment_2)</f>
        <v>Niagara Bus Loop</v>
      </c>
      <c r="G25" s="142" t="str">
        <f>IF(ISBLANK('Control Entry'!J16),"",'Control Entry'!J16)</f>
        <v>How many stripes on each?</v>
      </c>
      <c r="H25" s="143"/>
      <c r="I25" s="144"/>
      <c r="J25" s="108"/>
    </row>
    <row r="26" spans="2:15" ht="40" customHeight="1" thickBot="1" x14ac:dyDescent="0.3">
      <c r="B26" s="109"/>
      <c r="C26" s="115">
        <f>Control_2 Open_time</f>
        <v>45360.32430555555</v>
      </c>
      <c r="D26" s="115">
        <f>Control_2 Close_time</f>
        <v>45360.38958333333</v>
      </c>
      <c r="E26" s="110"/>
      <c r="F26" s="111" t="str">
        <f>IF(ISBLANK(Control_2 Establishment_3),"",Control_2 Establishment_3)</f>
        <v>Dallas Rd @ Niagara St</v>
      </c>
      <c r="G26" s="136" t="str">
        <f>IF(ISBLANK('Control Entry'!K16),"",'Control Entry'!K16)</f>
        <v>NONE       ONE.      THREE</v>
      </c>
      <c r="H26" s="137"/>
      <c r="I26" s="138"/>
      <c r="J26" s="112"/>
    </row>
    <row r="27" spans="2:15" ht="40" customHeight="1" x14ac:dyDescent="0.25">
      <c r="B27" s="102"/>
      <c r="C27" s="114">
        <f>Control_3 Open_time</f>
        <v>45360.359027777777</v>
      </c>
      <c r="D27" s="114">
        <f>Control_3 Close_time</f>
        <v>45360.447916666664</v>
      </c>
      <c r="E27" s="113"/>
      <c r="F27" s="104" t="str">
        <f>IF(ISBLANK(Control_3 Establishment_1),"",Control_3 Establishment_1)</f>
        <v>INFORMATION</v>
      </c>
      <c r="G27" s="139" t="str">
        <f>IF(ISBLANK('Control Entry'!I17),"",'Control Entry'!I17)</f>
        <v>NE corner (Beachcomber RV sign)</v>
      </c>
      <c r="H27" s="140"/>
      <c r="I27" s="141"/>
      <c r="J27" s="105"/>
    </row>
    <row r="28" spans="2:15" ht="40" customHeight="1" x14ac:dyDescent="0.25">
      <c r="B28" s="106">
        <f>IF(ISBLANK(Distance Control_3),"",Control_3 Distance)</f>
        <v>54.9</v>
      </c>
      <c r="C28" s="107">
        <f>Control_3 Open_time</f>
        <v>45360.359027777777</v>
      </c>
      <c r="D28" s="107">
        <f>Control_3 Close_time</f>
        <v>45360.447916666664</v>
      </c>
      <c r="E28" s="104" t="str">
        <f>IF(ISBLANK(Locale Control_3),"",Locale Control_3)</f>
        <v>CENTRAL SAANICH</v>
      </c>
      <c r="F28" s="104" t="str">
        <f>IF(ISBLANK(Control_3 Establishment_2),"",Control_3 Establishment_2)</f>
        <v>Stop sign</v>
      </c>
      <c r="G28" s="142" t="str">
        <f>IF(ISBLANK('Control Entry'!J17),"",'Control Entry'!J17)</f>
        <v>Top of power pole.  Number on wires?</v>
      </c>
      <c r="H28" s="143"/>
      <c r="I28" s="144"/>
      <c r="J28" s="108"/>
    </row>
    <row r="29" spans="2:15" ht="40" customHeight="1" thickBot="1" x14ac:dyDescent="0.3">
      <c r="B29" s="109"/>
      <c r="C29" s="115">
        <f>Control_3 Open_time</f>
        <v>45360.359027777777</v>
      </c>
      <c r="D29" s="115">
        <f>Control_3 Close_time</f>
        <v>45360.447916666664</v>
      </c>
      <c r="E29" s="110"/>
      <c r="F29" s="111" t="str">
        <f>IF(ISBLANK(Control_3 Establishment_3),"",Control_3 Establishment_3)</f>
        <v>Welch Rd @ Maritndale Rd</v>
      </c>
      <c r="G29" s="136" t="str">
        <f>IF(ISBLANK('Control Entry'!K17),"",'Control Entry'!K17)</f>
        <v>24____?</v>
      </c>
      <c r="H29" s="137"/>
      <c r="I29" s="138"/>
      <c r="J29" s="112"/>
    </row>
    <row r="30" spans="2:15" ht="40" customHeight="1" x14ac:dyDescent="0.25">
      <c r="B30" s="102"/>
      <c r="C30" s="114">
        <f>Control_4 Open_time</f>
        <v>45360.388194444444</v>
      </c>
      <c r="D30" s="114">
        <f>Control_4 Close_time</f>
        <v>45360.509722222218</v>
      </c>
      <c r="E30" s="113"/>
      <c r="F30" s="104" t="str">
        <f>IF(ISBLANK(Control_4 Establishment_1),"",Control_4 Establishment_1)</f>
        <v>INFORMATION</v>
      </c>
      <c r="G30" s="139" t="str">
        <f>IF(ISBLANK('Control Entry'!I18),"",'Control Entry'!I18)</f>
        <v>Back of stop sign</v>
      </c>
      <c r="H30" s="140"/>
      <c r="I30" s="141"/>
      <c r="J30" s="105"/>
    </row>
    <row r="31" spans="2:15" ht="40" customHeight="1" x14ac:dyDescent="0.25">
      <c r="B31" s="106">
        <f>IF(ISBLANK(Distance Control_4),"",Control_4 Distance)</f>
        <v>78.5</v>
      </c>
      <c r="C31" s="107">
        <f>Control_4 Open_time</f>
        <v>45360.388194444444</v>
      </c>
      <c r="D31" s="107">
        <f>Control_4 Close_time</f>
        <v>45360.509722222218</v>
      </c>
      <c r="E31" s="104" t="str">
        <f>IF(ISBLANK(Locale Control_4),"",Locale Control_4)</f>
        <v>NORTH SAANICH</v>
      </c>
      <c r="F31" s="104" t="str">
        <f>IF(ISBLANK(Control_4 Establishment_2),"",Control_4 Establishment_2)</f>
        <v>Stop sign</v>
      </c>
      <c r="G31" s="142" t="str">
        <f>IF(ISBLANK('Control Entry'!J18),"",'Control Entry'!J18)</f>
        <v>Green/yellow  label</v>
      </c>
      <c r="H31" s="143"/>
      <c r="I31" s="144"/>
      <c r="J31" s="108"/>
    </row>
    <row r="32" spans="2:15" ht="40" customHeight="1" thickBot="1" x14ac:dyDescent="0.3">
      <c r="B32" s="109"/>
      <c r="C32" s="115">
        <f>Control_4 Open_time</f>
        <v>45360.388194444444</v>
      </c>
      <c r="D32" s="115">
        <f>Control_4 Close_time</f>
        <v>45360.509722222218</v>
      </c>
      <c r="E32" s="110"/>
      <c r="F32" s="111" t="str">
        <f>IF(ISBLANK(Control_4 Establishment_3),"",Control_4 Establishment_3)</f>
        <v>Moses Pt Rd @ Lands End Rd</v>
      </c>
      <c r="G32" s="136" t="str">
        <f>IF(ISBLANK('Control Entry'!K18),"",'Control Entry'!K18)</f>
        <v>??___________SIGN??</v>
      </c>
      <c r="H32" s="137"/>
      <c r="I32" s="138"/>
      <c r="J32" s="112"/>
    </row>
    <row r="33" spans="2:10" ht="40" customHeight="1" x14ac:dyDescent="0.25">
      <c r="B33" s="102"/>
      <c r="C33" s="114">
        <f>Control_5 Open_time</f>
        <v>45360.44930555555</v>
      </c>
      <c r="D33" s="114">
        <f>Control_5 Close_time</f>
        <v>45360.648611111108</v>
      </c>
      <c r="E33" s="113"/>
      <c r="F33" s="104" t="str">
        <f>IF(ISBLANK(Control_5 Establishment_1),"",Control_5 Establishment_1)</f>
        <v>INFORMATION</v>
      </c>
      <c r="G33" s="139" t="str">
        <f>IF(ISBLANK('Control Entry'!I19),"",'Control Entry'!I19)</f>
        <v xml:space="preserve">Turnstone Rd side (right) </v>
      </c>
      <c r="H33" s="140"/>
      <c r="I33" s="141"/>
      <c r="J33" s="105"/>
    </row>
    <row r="34" spans="2:10" ht="40" customHeight="1" x14ac:dyDescent="0.25">
      <c r="B34" s="106">
        <f>IF(ISBLANK(Distance Control_5),"",Control_5 Distance)</f>
        <v>128.4</v>
      </c>
      <c r="C34" s="107">
        <f>Control_5 Open_time</f>
        <v>45360.44930555555</v>
      </c>
      <c r="D34" s="107">
        <f>Control_5 Close_time</f>
        <v>45360.648611111108</v>
      </c>
      <c r="E34" s="104" t="str">
        <f>IF(ISBLANK(Locale Control_5),"",Locale Control_5)</f>
        <v>LANGFORD</v>
      </c>
      <c r="F34" s="104" t="str">
        <f>IF(ISBLANK(Control_5 Establishment_2),"",Control_5 Establishment_2)</f>
        <v>Happy Valley Market</v>
      </c>
      <c r="G34" s="142" t="str">
        <f>IF(ISBLANK('Control Entry'!J19),"",'Control Entry'!J19)</f>
        <v>Is there a ???? (circle if yes)</v>
      </c>
      <c r="H34" s="143"/>
      <c r="I34" s="144"/>
      <c r="J34" s="108"/>
    </row>
    <row r="35" spans="2:10" ht="40" customHeight="1" thickBot="1" x14ac:dyDescent="0.3">
      <c r="B35" s="109"/>
      <c r="C35" s="115">
        <f>Control_5 Open_time</f>
        <v>45360.44930555555</v>
      </c>
      <c r="D35" s="115">
        <f>Control_5 Close_time</f>
        <v>45360.648611111108</v>
      </c>
      <c r="E35" s="110"/>
      <c r="F35" s="111" t="str">
        <f>IF(ISBLANK(Control_5 Establishment_3),"",Control_5 Establishment_3)</f>
        <v>3431 Happy Valley Rd</v>
      </c>
      <c r="G35" s="136" t="str">
        <f>IF(ISBLANK('Control Entry'!K19),"",'Control Entry'!K19)</f>
        <v>BIKE RACK      BENCH       PICNIC TABLE</v>
      </c>
      <c r="H35" s="137"/>
      <c r="I35" s="138"/>
      <c r="J35" s="112"/>
    </row>
    <row r="36" spans="2:10" ht="40" customHeight="1" x14ac:dyDescent="0.25">
      <c r="B36" s="102"/>
      <c r="C36" s="114">
        <f>Control_6 Open_time</f>
        <v>45360.51180555555</v>
      </c>
      <c r="D36" s="114">
        <f>Control_6 Close_time</f>
        <v>45360.790277777778</v>
      </c>
      <c r="E36" s="113"/>
      <c r="F36" s="104" t="str">
        <f>IF(ISBLANK(Control_6 Establishment_1),"",Control_6 Establishment_1)</f>
        <v>INFORMATION</v>
      </c>
      <c r="G36" s="139" t="str">
        <f>IF(ISBLANK('Control Entry'!I20),"",'Control Entry'!I20)</f>
        <v>Steel feathers on Mills Rd side of path</v>
      </c>
      <c r="H36" s="140"/>
      <c r="I36" s="141"/>
      <c r="J36" s="105"/>
    </row>
    <row r="37" spans="2:10" ht="40" customHeight="1" x14ac:dyDescent="0.25">
      <c r="B37" s="106">
        <f>IF(ISBLANK(Distance Control_6),"",Control_6 Distance)</f>
        <v>179.5</v>
      </c>
      <c r="C37" s="107">
        <f>Control_6 Open_time</f>
        <v>45360.51180555555</v>
      </c>
      <c r="D37" s="107">
        <f>Control_6 Close_time</f>
        <v>45360.790277777778</v>
      </c>
      <c r="E37" s="104" t="str">
        <f>IF(ISBLANK(Locale Control_6),"",Locale Control_6)</f>
        <v>NORTH SAANICH</v>
      </c>
      <c r="F37" s="104" t="str">
        <f>IF(ISBLANK(Control_6 Establishment_2),"",Control_6 Establishment_2)</f>
        <v>Lost Airmen of the Empire Park</v>
      </c>
      <c r="G37" s="142" t="str">
        <f>IF(ISBLANK('Control Entry'!J20),"",'Control Entry'!J20)</f>
        <v>How many?</v>
      </c>
      <c r="H37" s="143"/>
      <c r="I37" s="144"/>
      <c r="J37" s="108"/>
    </row>
    <row r="38" spans="2:10" ht="40" customHeight="1" thickBot="1" x14ac:dyDescent="0.3">
      <c r="B38" s="109"/>
      <c r="C38" s="115">
        <f>Control_6 Open_time</f>
        <v>45360.51180555555</v>
      </c>
      <c r="D38" s="115">
        <f>Control_6 Close_time</f>
        <v>45360.790277777778</v>
      </c>
      <c r="E38" s="110"/>
      <c r="F38" s="111" t="str">
        <f>IF(ISBLANK(Control_6 Establishment_3),"",Control_6 Establishment_3)</f>
        <v>The Flight Path</v>
      </c>
      <c r="G38" s="136" t="str">
        <f>IF(ISBLANK('Control Entry'!K20),"",'Control Entry'!K20)</f>
        <v>TWO       THREE      FOUR</v>
      </c>
      <c r="H38" s="137"/>
      <c r="I38" s="138"/>
      <c r="J38" s="112"/>
    </row>
    <row r="39" spans="2:10" ht="40" customHeight="1" x14ac:dyDescent="0.25">
      <c r="B39" s="102"/>
      <c r="C39" s="114">
        <f>Control_7 Open_time</f>
        <v>45360.538194444445</v>
      </c>
      <c r="D39" s="114">
        <f>Control_7 Close_time</f>
        <v>45360.854166666664</v>
      </c>
      <c r="E39" s="113"/>
      <c r="F39" s="104" t="str">
        <f>IF(ISBLANK(Control_7 Establishment_1),"",Control_7 Establishment_1)</f>
        <v>STAFFED</v>
      </c>
      <c r="G39" s="139" t="str">
        <f>IF(ISBLANK('Control Entry'!I21),"",'Control Entry'!I21)</f>
        <v/>
      </c>
      <c r="H39" s="140"/>
      <c r="I39" s="141"/>
      <c r="J39" s="105"/>
    </row>
    <row r="40" spans="2:10" ht="40" customHeight="1" x14ac:dyDescent="0.25">
      <c r="B40" s="106">
        <f>IF(ISBLANK(Distance Control_7),"",Control_7 Distance)</f>
        <v>201</v>
      </c>
      <c r="C40" s="107">
        <f>Control_7 Open_time</f>
        <v>45360.538194444445</v>
      </c>
      <c r="D40" s="107">
        <f>Control_7 Close_time</f>
        <v>45360.854166666664</v>
      </c>
      <c r="E40" s="104" t="str">
        <f>IF(ISBLANK(Locale Control_7),"",Locale Control_7)</f>
        <v>SAANICH</v>
      </c>
      <c r="F40" s="104" t="str">
        <f>IF(ISBLANK(Control_7 Establishment_2),"",Control_7 Establishment_2)</f>
        <v>4958 Highgate</v>
      </c>
      <c r="G40" s="142" t="str">
        <f>IF(ISBLANK('Control Entry'!J21),"",'Control Entry'!J21)</f>
        <v/>
      </c>
      <c r="H40" s="143"/>
      <c r="I40" s="144"/>
      <c r="J40" s="108"/>
    </row>
    <row r="41" spans="2:10" ht="40" customHeight="1" thickBot="1" x14ac:dyDescent="0.3">
      <c r="B41" s="109"/>
      <c r="C41" s="115">
        <f>Control_7 Open_time</f>
        <v>45360.538194444445</v>
      </c>
      <c r="D41" s="115">
        <f>Control_7 Close_time</f>
        <v>45360.854166666664</v>
      </c>
      <c r="E41" s="110"/>
      <c r="F41" s="111" t="str">
        <f>IF(ISBLANK(Control_7 Establishment_3),"",Control_7 Establishment_3)</f>
        <v/>
      </c>
      <c r="G41" s="136" t="str">
        <f>IF(ISBLANK('Control Entry'!K21),"",'Control Entry'!K21)</f>
        <v/>
      </c>
      <c r="H41" s="137"/>
      <c r="I41" s="138"/>
      <c r="J41" s="112"/>
    </row>
    <row r="42" spans="2:10" ht="40" customHeight="1" x14ac:dyDescent="0.25">
      <c r="B42" s="102"/>
      <c r="C42" s="114" t="str">
        <f>Control_8 Open_time</f>
        <v/>
      </c>
      <c r="D42" s="114" t="str">
        <f>Control_8 Close_time</f>
        <v/>
      </c>
      <c r="E42" s="113"/>
      <c r="F42" s="104" t="str">
        <f>IF(ISBLANK(Control_8 Establishment_1),"",Control_8 Establishment_1)</f>
        <v/>
      </c>
      <c r="G42" s="139" t="str">
        <f>IF(ISBLANK('Control Entry'!I22),"",'Control Entry'!I22)</f>
        <v/>
      </c>
      <c r="H42" s="140"/>
      <c r="I42" s="141"/>
      <c r="J42" s="105"/>
    </row>
    <row r="43" spans="2:10" ht="40" customHeight="1" x14ac:dyDescent="0.25">
      <c r="B43" s="106" t="str">
        <f>IF(ISBLANK(Distance Control_8),"",Control_8 Distance)</f>
        <v/>
      </c>
      <c r="C43" s="107" t="str">
        <f>Control_8 Open_time</f>
        <v/>
      </c>
      <c r="D43" s="107" t="str">
        <f>Control_8 Close_time</f>
        <v/>
      </c>
      <c r="E43" s="104" t="str">
        <f>IF(ISBLANK(Locale Control_8),"",Locale Control_8)</f>
        <v/>
      </c>
      <c r="F43" s="104" t="str">
        <f>IF(ISBLANK(Control_8 Establishment_2),"",Control_8 Establishment_2)</f>
        <v/>
      </c>
      <c r="G43" s="142" t="str">
        <f>IF(ISBLANK('Control Entry'!J22),"",'Control Entry'!J22)</f>
        <v/>
      </c>
      <c r="H43" s="143"/>
      <c r="I43" s="144"/>
      <c r="J43" s="108"/>
    </row>
    <row r="44" spans="2:10" ht="40" customHeight="1" thickBot="1" x14ac:dyDescent="0.3">
      <c r="B44" s="109"/>
      <c r="C44" s="115" t="str">
        <f>Control_8 Open_time</f>
        <v/>
      </c>
      <c r="D44" s="115" t="str">
        <f>Control_8 Close_time</f>
        <v/>
      </c>
      <c r="E44" s="110"/>
      <c r="F44" s="111" t="str">
        <f>IF(ISBLANK(Control_8 Establishment_3),"",Control_8 Establishment_3)</f>
        <v/>
      </c>
      <c r="G44" s="136" t="str">
        <f>IF(ISBLANK('Control Entry'!K22),"",'Control Entry'!K22)</f>
        <v/>
      </c>
      <c r="H44" s="137"/>
      <c r="I44" s="138"/>
      <c r="J44" s="112"/>
    </row>
    <row r="45" spans="2:10" ht="40" customHeight="1" x14ac:dyDescent="0.25">
      <c r="B45" s="102"/>
      <c r="C45" s="114" t="str">
        <f>Control_9 Open_time</f>
        <v/>
      </c>
      <c r="D45" s="114" t="str">
        <f>Control_9 Close_time</f>
        <v/>
      </c>
      <c r="E45" s="113"/>
      <c r="F45" s="104" t="str">
        <f>IF(ISBLANK(Control_9 Establishment_1),"",Control_9 Establishment_1)</f>
        <v/>
      </c>
      <c r="G45" s="139" t="str">
        <f>IF(ISBLANK('Control Entry'!I23),"",'Control Entry'!I23)</f>
        <v/>
      </c>
      <c r="H45" s="140"/>
      <c r="I45" s="141"/>
      <c r="J45" s="105"/>
    </row>
    <row r="46" spans="2:10" ht="40" customHeight="1" x14ac:dyDescent="0.25">
      <c r="B46" s="106" t="str">
        <f>IF(ISBLANK(Distance Control_9),"",Control_9 Distance)</f>
        <v/>
      </c>
      <c r="C46" s="107" t="str">
        <f>Control_9 Open_time</f>
        <v/>
      </c>
      <c r="D46" s="107" t="str">
        <f>Control_9 Close_time</f>
        <v/>
      </c>
      <c r="E46" s="104" t="str">
        <f>IF(ISBLANK(Locale Control_9),"",Locale Control_9)</f>
        <v/>
      </c>
      <c r="F46" s="104" t="str">
        <f>IF(ISBLANK(Control_9 Establishment_2),"",Control_9 Establishment_2)</f>
        <v/>
      </c>
      <c r="G46" s="142" t="str">
        <f>IF(ISBLANK('Control Entry'!J23),"",'Control Entry'!J23)</f>
        <v/>
      </c>
      <c r="H46" s="143"/>
      <c r="I46" s="144"/>
      <c r="J46" s="108"/>
    </row>
    <row r="47" spans="2:10" ht="40" customHeight="1" thickBot="1" x14ac:dyDescent="0.3">
      <c r="B47" s="109"/>
      <c r="C47" s="115" t="str">
        <f>Control_9 Open_time</f>
        <v/>
      </c>
      <c r="D47" s="115" t="str">
        <f>Control_9 Close_time</f>
        <v/>
      </c>
      <c r="E47" s="110"/>
      <c r="F47" s="111" t="str">
        <f>IF(ISBLANK(Control_9 Establishment_3),"",Control_9 Establishment_3)</f>
        <v/>
      </c>
      <c r="G47" s="136" t="str">
        <f>IF(ISBLANK('Control Entry'!K23),"",'Control Entry'!K23)</f>
        <v/>
      </c>
      <c r="H47" s="137"/>
      <c r="I47" s="138"/>
      <c r="J47" s="112"/>
    </row>
    <row r="48" spans="2:10" ht="40" customHeight="1" x14ac:dyDescent="0.25">
      <c r="B48" s="102"/>
      <c r="C48" s="114" t="str">
        <f>Control_10 Open_time</f>
        <v/>
      </c>
      <c r="D48" s="114" t="str">
        <f>Control_10 Close_time</f>
        <v/>
      </c>
      <c r="E48" s="113"/>
      <c r="F48" s="104" t="str">
        <f>IF(ISBLANK(Control_10 Establishment_1),"",Control_10 Establishment_1)</f>
        <v/>
      </c>
      <c r="G48" s="139" t="str">
        <f>IF(ISBLANK('Control Entry'!I24),"",'Control Entry'!I24)</f>
        <v/>
      </c>
      <c r="H48" s="140"/>
      <c r="I48" s="141"/>
      <c r="J48" s="105"/>
    </row>
    <row r="49" spans="2:11" ht="40" customHeight="1" x14ac:dyDescent="0.25">
      <c r="B49" s="106" t="str">
        <f>IF(ISBLANK(Distance Control_10),"",Control_10 Distance)</f>
        <v/>
      </c>
      <c r="C49" s="107" t="str">
        <f>Control_10 Open_time</f>
        <v/>
      </c>
      <c r="D49" s="107" t="str">
        <f>Control_10 Close_time</f>
        <v/>
      </c>
      <c r="E49" s="104" t="str">
        <f>IF(ISBLANK(Locale Control_10),"",Locale Control_10)</f>
        <v/>
      </c>
      <c r="F49" s="104" t="str">
        <f>IF(ISBLANK(Control_10 Establishment_2),"",Control_10 Establishment_2)</f>
        <v/>
      </c>
      <c r="G49" s="142" t="str">
        <f>IF(ISBLANK('Control Entry'!J24),"",'Control Entry'!J24)</f>
        <v/>
      </c>
      <c r="H49" s="143"/>
      <c r="I49" s="144"/>
      <c r="J49" s="108"/>
    </row>
    <row r="50" spans="2:11" ht="40" customHeight="1" thickBot="1" x14ac:dyDescent="0.3">
      <c r="B50" s="109"/>
      <c r="C50" s="115" t="str">
        <f>Control_10 Open_time</f>
        <v/>
      </c>
      <c r="D50" s="115" t="str">
        <f>Control_10 Close_time</f>
        <v/>
      </c>
      <c r="E50" s="110"/>
      <c r="F50" s="111" t="str">
        <f>IF(ISBLANK(Control_10 Establishment_3),"",Control_10 Establishment_3)</f>
        <v/>
      </c>
      <c r="G50" s="136" t="str">
        <f>IF(ISBLANK('Control Entry'!K24),"",'Control Entry'!K24)</f>
        <v/>
      </c>
      <c r="H50" s="137"/>
      <c r="I50" s="138"/>
      <c r="J50" s="112"/>
    </row>
    <row r="52" spans="2:11" ht="24" customHeight="1" x14ac:dyDescent="0.15">
      <c r="B52" s="154" t="s">
        <v>30</v>
      </c>
      <c r="C52" s="154"/>
      <c r="D52" s="154"/>
      <c r="E52" s="154"/>
      <c r="F52" s="154"/>
      <c r="I52" s="66" t="s">
        <v>57</v>
      </c>
      <c r="J52" s="94">
        <f>IF(ISBLANK('Control Entry'!F10),"",'Control Entry'!F10)</f>
        <v>2502133724</v>
      </c>
      <c r="K52" s="62"/>
    </row>
    <row r="54" spans="2:11" x14ac:dyDescent="0.15">
      <c r="B54" s="89" t="s">
        <v>60</v>
      </c>
      <c r="C54" s="90">
        <f>'Control Entry'!B3</f>
        <v>45167</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52"/>
      <c r="G57" s="153"/>
      <c r="H57" s="153"/>
      <c r="I57" s="153"/>
      <c r="J57" s="153"/>
    </row>
  </sheetData>
  <mergeCells count="50">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 ref="G47:I47"/>
    <mergeCell ref="G20:I20"/>
    <mergeCell ref="D12:E12"/>
    <mergeCell ref="D14:E14"/>
    <mergeCell ref="G27:I27"/>
    <mergeCell ref="G28:I28"/>
    <mergeCell ref="G26:I26"/>
    <mergeCell ref="C17:F17"/>
    <mergeCell ref="G37:I37"/>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C2:F2"/>
    <mergeCell ref="B19:J19"/>
    <mergeCell ref="B10:C10"/>
    <mergeCell ref="E10:G10"/>
    <mergeCell ref="C7:F8"/>
    <mergeCell ref="H7:H8"/>
    <mergeCell ref="E5:H6"/>
    <mergeCell ref="E3:H3"/>
    <mergeCell ref="E4:H4"/>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Control Entry</vt:lpstr>
      <vt:lpstr>Card #1</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'Card #1'!Print_Area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2023-08-24T23:38:36Z</cp:lastPrinted>
  <dcterms:created xsi:type="dcterms:W3CDTF">1997-11-12T04:43:39Z</dcterms:created>
  <dcterms:modified xsi:type="dcterms:W3CDTF">2024-03-04T06:06:13Z</dcterms:modified>
</cp:coreProperties>
</file>