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09"/>
  <workbookPr showInkAnnotation="0" autoCompressPictures="0"/>
  <mc:AlternateContent xmlns:mc="http://schemas.openxmlformats.org/markup-compatibility/2006">
    <mc:Choice Requires="x15">
      <x15ac:absPath xmlns:x15ac="http://schemas.microsoft.com/office/spreadsheetml/2010/11/ac" url="/Users/stephencarol/Documents/BCR/2024/5412 CCE/"/>
    </mc:Choice>
  </mc:AlternateContent>
  <xr:revisionPtr revIDLastSave="0" documentId="8_{51CF7AC3-44B1-EB48-A927-9247B7050FC5}" xr6:coauthVersionLast="47" xr6:coauthVersionMax="47" xr10:uidLastSave="{00000000-0000-0000-0000-000000000000}"/>
  <bookViews>
    <workbookView xWindow="0" yWindow="760" windowWidth="29400" windowHeight="18360" tabRatio="509" xr2:uid="{00000000-000D-0000-FFFF-FFFF00000000}"/>
  </bookViews>
  <sheets>
    <sheet name="Control Entry" sheetId="1" r:id="rId1"/>
    <sheet name="Card #1" sheetId="7" r:id="rId2"/>
    <sheet name="Card #2" sheetId="8" r:id="rId3"/>
  </sheets>
  <definedNames>
    <definedName name="Address_1" localSheetId="1">#REF!</definedName>
    <definedName name="Address_1" localSheetId="2">#REF!</definedName>
    <definedName name="Address_1">#REF!</definedName>
    <definedName name="Address_2" localSheetId="1">#REF!</definedName>
    <definedName name="Address_2" localSheetId="2">#REF!</definedName>
    <definedName name="Address_2">#REF!</definedName>
    <definedName name="brevet">'Control Entry'!$C$6</definedName>
    <definedName name="Brevet_Description">'Control Entry'!$B$8</definedName>
    <definedName name="Brevet_Length">'Control Entry'!$B$6</definedName>
    <definedName name="Brevet_Number">'Control Entry'!$B$9</definedName>
    <definedName name="City" localSheetId="1">#REF!</definedName>
    <definedName name="City" localSheetId="2">#REF!</definedName>
    <definedName name="City">#REF!</definedName>
    <definedName name="Close">'Control Entry'!$M$15:$M$24</definedName>
    <definedName name="Close_time">'Control Entry'!$O$15:$O$24</definedName>
    <definedName name="Control_1">'Control Entry'!$D$15:$O$15</definedName>
    <definedName name="Control_10">'Control Entry'!$D$24:$O$24</definedName>
    <definedName name="Control_11" localSheetId="1">'Control Entry'!#REF!</definedName>
    <definedName name="Control_11" localSheetId="2">'Control Entry'!#REF!</definedName>
    <definedName name="Control_11">'Control Entry'!#REF!</definedName>
    <definedName name="Control_12" localSheetId="1">'Control Entry'!#REF!</definedName>
    <definedName name="Control_12" localSheetId="2">'Control Entry'!#REF!</definedName>
    <definedName name="Control_12">'Control Entry'!#REF!</definedName>
    <definedName name="Control_13" localSheetId="1">'Control Entry'!#REF!</definedName>
    <definedName name="Control_13" localSheetId="2">'Control Entry'!#REF!</definedName>
    <definedName name="Control_13">'Control Entry'!#REF!</definedName>
    <definedName name="Control_14" localSheetId="1">'Control Entry'!#REF!</definedName>
    <definedName name="Control_14" localSheetId="2">'Control Entry'!#REF!</definedName>
    <definedName name="Control_14">'Control Entry'!#REF!</definedName>
    <definedName name="Control_15" localSheetId="1">'Control Entry'!#REF!</definedName>
    <definedName name="Control_15" localSheetId="2">'Control Entry'!#REF!</definedName>
    <definedName name="Control_15">'Control Entry'!#REF!</definedName>
    <definedName name="Control_16" localSheetId="1">'Control Entry'!#REF!</definedName>
    <definedName name="Control_16" localSheetId="2">'Control Entry'!#REF!</definedName>
    <definedName name="Control_16">'Control Entry'!#REF!</definedName>
    <definedName name="Control_17" localSheetId="1">'Control Entry'!#REF!</definedName>
    <definedName name="Control_17" localSheetId="2">'Control Entry'!#REF!</definedName>
    <definedName name="Control_17">'Control Entry'!#REF!</definedName>
    <definedName name="Control_18" localSheetId="1">'Control Entry'!#REF!</definedName>
    <definedName name="Control_18" localSheetId="2">'Control Entry'!#REF!</definedName>
    <definedName name="Control_18">'Control Entry'!#REF!</definedName>
    <definedName name="Control_19" localSheetId="1">'Control Entry'!#REF!</definedName>
    <definedName name="Control_19" localSheetId="2">'Control Entry'!#REF!</definedName>
    <definedName name="Control_19">'Control Entry'!#REF!</definedName>
    <definedName name="Control_2">'Control Entry'!$D$16:$O$16</definedName>
    <definedName name="Control_20" localSheetId="1">'Control Entry'!#REF!</definedName>
    <definedName name="Control_20" localSheetId="2">'Control Entry'!#REF!</definedName>
    <definedName name="Control_20">'Control Entry'!#REF!</definedName>
    <definedName name="Control_3">'Control Entry'!$D$17:$O$17</definedName>
    <definedName name="Control_4">'Control Entry'!$D$18:$O$18</definedName>
    <definedName name="Control_5">'Control Entry'!$D$19:$O$19</definedName>
    <definedName name="Control_6">'Control Entry'!$D$20:$O$20</definedName>
    <definedName name="Control_7">'Control Entry'!$D$21:$O$21</definedName>
    <definedName name="Control_8">'Control Entry'!$D$22:$O$22</definedName>
    <definedName name="Control_9">'Control Entry'!$D$23:$O$23</definedName>
    <definedName name="Country" localSheetId="1">#REF!</definedName>
    <definedName name="Country" localSheetId="2">#REF!</definedName>
    <definedName name="Country">#REF!</definedName>
    <definedName name="Distance">'Control Entry'!$D$15:$D$24</definedName>
    <definedName name="email" localSheetId="1">#REF!</definedName>
    <definedName name="email" localSheetId="2">#REF!</definedName>
    <definedName name="email">#REF!</definedName>
    <definedName name="Establishment_1">'Control Entry'!$F$15:$F$24</definedName>
    <definedName name="Establishment_2">'Control Entry'!$G$15:$G$24</definedName>
    <definedName name="Establishment_3">'Control Entry'!$H$15:$H$24</definedName>
    <definedName name="Fax" localSheetId="1">#REF!</definedName>
    <definedName name="Fax" localSheetId="2">#REF!</definedName>
    <definedName name="Fax">#REF!</definedName>
    <definedName name="First_Name" localSheetId="1">#REF!</definedName>
    <definedName name="First_Name" localSheetId="2">#REF!</definedName>
    <definedName name="First_Name">#REF!</definedName>
    <definedName name="Home_telephone" localSheetId="1">#REF!</definedName>
    <definedName name="Home_telephone" localSheetId="2">#REF!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1">#REF!</definedName>
    <definedName name="Initial" localSheetId="2">#REF!</definedName>
    <definedName name="Initial">#REF!</definedName>
    <definedName name="Locale">'Control Entry'!$E$15:$E$24</definedName>
    <definedName name="Max_time">'Control Entry'!$B$7</definedName>
    <definedName name="Open">'Control Entry'!$L$15:$L$24</definedName>
    <definedName name="Open_time">'Control Entry'!$N$15:$N$24</definedName>
    <definedName name="Postal_Code" localSheetId="1">#REF!</definedName>
    <definedName name="Postal_Code" localSheetId="2">#REF!</definedName>
    <definedName name="Postal_Code">#REF!</definedName>
    <definedName name="_xlnm.Print_Area" localSheetId="1">'Card #1'!$A$1:$K$55</definedName>
    <definedName name="_xlnm.Print_Area" localSheetId="2">'Card #2'!$A$1:$K$55</definedName>
    <definedName name="Province_State" localSheetId="1">#REF!</definedName>
    <definedName name="Province_State" localSheetId="2">#REF!</definedName>
    <definedName name="Province_State">#REF!</definedName>
    <definedName name="Start_date">'Control Entry'!$B$12</definedName>
    <definedName name="Start_time">'Control Entry'!$B$13</definedName>
    <definedName name="surname" localSheetId="1">#REF!</definedName>
    <definedName name="surname" localSheetId="2">#REF!</definedName>
    <definedName name="surname">#REF!</definedName>
    <definedName name="Work_telephone" localSheetId="1">#REF!</definedName>
    <definedName name="Work_telephone" localSheetId="2">#REF!</definedName>
    <definedName name="Work_telepho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50" i="8" l="1"/>
  <c r="G49" i="8"/>
  <c r="G48" i="8"/>
  <c r="F50" i="8"/>
  <c r="F49" i="8"/>
  <c r="F48" i="8"/>
  <c r="E49" i="8"/>
  <c r="B49" i="8"/>
  <c r="G47" i="8"/>
  <c r="G46" i="8"/>
  <c r="G45" i="8"/>
  <c r="F47" i="8"/>
  <c r="F46" i="8"/>
  <c r="F45" i="8"/>
  <c r="E46" i="8"/>
  <c r="B46" i="8"/>
  <c r="G44" i="8"/>
  <c r="G43" i="8"/>
  <c r="G42" i="8"/>
  <c r="F44" i="8"/>
  <c r="F43" i="8"/>
  <c r="F42" i="8"/>
  <c r="E43" i="8"/>
  <c r="B43" i="8"/>
  <c r="G41" i="8"/>
  <c r="G40" i="8"/>
  <c r="G39" i="8"/>
  <c r="F41" i="8"/>
  <c r="F40" i="8"/>
  <c r="F39" i="8"/>
  <c r="E40" i="8"/>
  <c r="B40" i="8"/>
  <c r="G38" i="8"/>
  <c r="G37" i="8"/>
  <c r="G36" i="8"/>
  <c r="F38" i="8"/>
  <c r="F37" i="8"/>
  <c r="F36" i="8"/>
  <c r="E37" i="8"/>
  <c r="B37" i="8"/>
  <c r="G35" i="8"/>
  <c r="G34" i="8"/>
  <c r="G33" i="8"/>
  <c r="F35" i="8"/>
  <c r="F34" i="8"/>
  <c r="F33" i="8"/>
  <c r="E34" i="8"/>
  <c r="B34" i="8"/>
  <c r="G32" i="8"/>
  <c r="G31" i="8"/>
  <c r="G30" i="8"/>
  <c r="F32" i="8"/>
  <c r="F31" i="8"/>
  <c r="F30" i="8"/>
  <c r="E31" i="8"/>
  <c r="B31" i="8"/>
  <c r="G29" i="8"/>
  <c r="G28" i="8"/>
  <c r="G26" i="8"/>
  <c r="G25" i="8"/>
  <c r="G27" i="8"/>
  <c r="F29" i="8"/>
  <c r="F28" i="8"/>
  <c r="F27" i="8"/>
  <c r="E28" i="8"/>
  <c r="B28" i="8"/>
  <c r="G24" i="8"/>
  <c r="F26" i="8"/>
  <c r="F25" i="8"/>
  <c r="F24" i="8"/>
  <c r="E25" i="8"/>
  <c r="B25" i="8"/>
  <c r="B22" i="8"/>
  <c r="G23" i="8"/>
  <c r="G22" i="8"/>
  <c r="G21" i="8"/>
  <c r="F23" i="8"/>
  <c r="F22" i="8"/>
  <c r="F21" i="8"/>
  <c r="E22" i="8"/>
  <c r="C54" i="8"/>
  <c r="J52" i="8"/>
  <c r="I12" i="8"/>
  <c r="F12" i="8"/>
  <c r="E5" i="8"/>
  <c r="E4" i="8"/>
  <c r="J3" i="8"/>
  <c r="J2" i="8"/>
  <c r="M37" i="1"/>
  <c r="O37" i="1" s="1"/>
  <c r="D49" i="8" s="1"/>
  <c r="L37" i="1"/>
  <c r="N37" i="1" s="1"/>
  <c r="C48" i="8" s="1"/>
  <c r="N36" i="1"/>
  <c r="C47" i="8" s="1"/>
  <c r="M36" i="1"/>
  <c r="O36" i="1" s="1"/>
  <c r="D47" i="8" s="1"/>
  <c r="L36" i="1"/>
  <c r="N35" i="1"/>
  <c r="C42" i="8" s="1"/>
  <c r="M35" i="1"/>
  <c r="O35" i="1" s="1"/>
  <c r="D43" i="8" s="1"/>
  <c r="L35" i="1"/>
  <c r="N34" i="1"/>
  <c r="C41" i="8" s="1"/>
  <c r="M34" i="1"/>
  <c r="O34" i="1" s="1"/>
  <c r="D41" i="8" s="1"/>
  <c r="L34" i="1"/>
  <c r="N33" i="1"/>
  <c r="C36" i="8" s="1"/>
  <c r="M33" i="1"/>
  <c r="O33" i="1" s="1"/>
  <c r="D37" i="8" s="1"/>
  <c r="L33" i="1"/>
  <c r="N32" i="1"/>
  <c r="C35" i="8" s="1"/>
  <c r="M32" i="1"/>
  <c r="O32" i="1" s="1"/>
  <c r="D35" i="8" s="1"/>
  <c r="L32" i="1"/>
  <c r="M31" i="1"/>
  <c r="O31" i="1" s="1"/>
  <c r="D31" i="8" s="1"/>
  <c r="L31" i="1"/>
  <c r="N31" i="1" s="1"/>
  <c r="C30" i="8" s="1"/>
  <c r="M30" i="1"/>
  <c r="O30" i="1" s="1"/>
  <c r="D28" i="8" s="1"/>
  <c r="L30" i="1"/>
  <c r="N30" i="1" s="1"/>
  <c r="C27" i="8" s="1"/>
  <c r="O29" i="1"/>
  <c r="D25" i="8" s="1"/>
  <c r="M29" i="1"/>
  <c r="L29" i="1"/>
  <c r="N29" i="1" s="1"/>
  <c r="C24" i="8" s="1"/>
  <c r="M28" i="1"/>
  <c r="L28" i="1"/>
  <c r="D50" i="8" l="1"/>
  <c r="C31" i="8"/>
  <c r="D44" i="8"/>
  <c r="D39" i="8"/>
  <c r="C43" i="8"/>
  <c r="C28" i="8"/>
  <c r="D32" i="8"/>
  <c r="D26" i="8"/>
  <c r="D38" i="8"/>
  <c r="C49" i="8"/>
  <c r="C25" i="8"/>
  <c r="D29" i="8"/>
  <c r="D33" i="8"/>
  <c r="C37" i="8"/>
  <c r="D45" i="8"/>
  <c r="C26" i="8"/>
  <c r="C29" i="8"/>
  <c r="C32" i="8"/>
  <c r="C33" i="8"/>
  <c r="D34" i="8"/>
  <c r="C38" i="8"/>
  <c r="C39" i="8"/>
  <c r="D40" i="8"/>
  <c r="C44" i="8"/>
  <c r="C45" i="8"/>
  <c r="D46" i="8"/>
  <c r="C50" i="8"/>
  <c r="D24" i="8"/>
  <c r="D27" i="8"/>
  <c r="D30" i="8"/>
  <c r="C34" i="8"/>
  <c r="D36" i="8"/>
  <c r="C40" i="8"/>
  <c r="D42" i="8"/>
  <c r="C46" i="8"/>
  <c r="D48" i="8"/>
  <c r="L7" i="1"/>
  <c r="E5" i="7" l="1"/>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F50" i="7"/>
  <c r="F49" i="7"/>
  <c r="E49" i="7"/>
  <c r="B49" i="7"/>
  <c r="F48" i="7"/>
  <c r="F47" i="7"/>
  <c r="F46" i="7"/>
  <c r="E46" i="7"/>
  <c r="B46" i="7"/>
  <c r="F45" i="7"/>
  <c r="F44" i="7"/>
  <c r="F43" i="7"/>
  <c r="E43" i="7"/>
  <c r="B43" i="7"/>
  <c r="F42" i="7"/>
  <c r="F41" i="7"/>
  <c r="F40" i="7"/>
  <c r="E40" i="7"/>
  <c r="B40" i="7"/>
  <c r="F39" i="7"/>
  <c r="F38" i="7"/>
  <c r="F37" i="7"/>
  <c r="E37" i="7"/>
  <c r="B37" i="7"/>
  <c r="F36" i="7"/>
  <c r="F35" i="7"/>
  <c r="F34" i="7"/>
  <c r="E34" i="7"/>
  <c r="B34" i="7"/>
  <c r="F33" i="7"/>
  <c r="F32" i="7"/>
  <c r="F31" i="7"/>
  <c r="E31" i="7"/>
  <c r="B31" i="7"/>
  <c r="F30" i="7"/>
  <c r="F29" i="7"/>
  <c r="F28" i="7"/>
  <c r="E28" i="7"/>
  <c r="B28" i="7"/>
  <c r="F27" i="7"/>
  <c r="F26" i="7"/>
  <c r="F25" i="7"/>
  <c r="E25" i="7"/>
  <c r="B25" i="7"/>
  <c r="F24" i="7"/>
  <c r="F23" i="7"/>
  <c r="F22" i="7"/>
  <c r="E22" i="7"/>
  <c r="B22" i="7"/>
  <c r="F21" i="7"/>
  <c r="J52" i="7" l="1"/>
  <c r="I12" i="7"/>
  <c r="F12" i="7"/>
  <c r="J2" i="7"/>
  <c r="C54" i="7"/>
  <c r="J3" i="7"/>
  <c r="E4" i="7" l="1"/>
  <c r="L15" i="1" l="1"/>
  <c r="N15" i="1" s="1"/>
  <c r="C6" i="1"/>
  <c r="L24" i="1"/>
  <c r="L23" i="1"/>
  <c r="L22" i="1"/>
  <c r="L21" i="1"/>
  <c r="L20" i="1"/>
  <c r="L19" i="1"/>
  <c r="L18" i="1"/>
  <c r="L17" i="1"/>
  <c r="L16" i="1"/>
  <c r="N28" i="1" l="1"/>
  <c r="O28" i="1"/>
  <c r="M16" i="1"/>
  <c r="C22" i="7"/>
  <c r="C23" i="7"/>
  <c r="C21" i="7"/>
  <c r="B7" i="1"/>
  <c r="M21" i="1" s="1"/>
  <c r="O21" i="1" s="1"/>
  <c r="O16" i="1"/>
  <c r="M19" i="1"/>
  <c r="O19" i="1" s="1"/>
  <c r="M18" i="1"/>
  <c r="O18" i="1" s="1"/>
  <c r="M17" i="1"/>
  <c r="O17" i="1" s="1"/>
  <c r="M15" i="1"/>
  <c r="O15" i="1" s="1"/>
  <c r="N18" i="1"/>
  <c r="N22" i="1"/>
  <c r="N17" i="1"/>
  <c r="N21" i="1"/>
  <c r="N24" i="1"/>
  <c r="N16" i="1"/>
  <c r="N20" i="1"/>
  <c r="N19" i="1"/>
  <c r="N23" i="1"/>
  <c r="C21" i="8" l="1"/>
  <c r="C23" i="8"/>
  <c r="C22" i="8"/>
  <c r="D21" i="8"/>
  <c r="D22" i="8"/>
  <c r="D23" i="8"/>
  <c r="M24" i="1"/>
  <c r="O24" i="1" s="1"/>
  <c r="M23" i="1"/>
  <c r="O23" i="1" s="1"/>
  <c r="M20" i="1"/>
  <c r="O20" i="1" s="1"/>
  <c r="M22" i="1"/>
  <c r="O22" i="1" s="1"/>
  <c r="D29" i="7"/>
  <c r="D28" i="7"/>
  <c r="D27" i="7"/>
  <c r="C26" i="7"/>
  <c r="C25" i="7"/>
  <c r="C24" i="7"/>
  <c r="D26" i="7"/>
  <c r="D24" i="7"/>
  <c r="D25" i="7"/>
  <c r="C47" i="7"/>
  <c r="C45" i="7"/>
  <c r="C46" i="7"/>
  <c r="D41" i="7"/>
  <c r="D40" i="7"/>
  <c r="D39" i="7"/>
  <c r="C39" i="7"/>
  <c r="C41" i="7"/>
  <c r="C40" i="7"/>
  <c r="C43" i="7"/>
  <c r="C42" i="7"/>
  <c r="C44" i="7"/>
  <c r="C31" i="7"/>
  <c r="C32" i="7"/>
  <c r="C30" i="7"/>
  <c r="D23" i="7"/>
  <c r="D21" i="7"/>
  <c r="D22" i="7"/>
  <c r="C50" i="7"/>
  <c r="C49" i="7"/>
  <c r="C48" i="7"/>
  <c r="C35" i="7"/>
  <c r="C33" i="7"/>
  <c r="C34" i="7"/>
  <c r="C38" i="7"/>
  <c r="C37" i="7"/>
  <c r="C36" i="7"/>
  <c r="C29" i="7"/>
  <c r="C27" i="7"/>
  <c r="C28" i="7"/>
  <c r="D35" i="7"/>
  <c r="D33" i="7"/>
  <c r="D34" i="7"/>
  <c r="D31" i="7"/>
  <c r="D32" i="7"/>
  <c r="D30" i="7"/>
  <c r="D37" i="7" l="1"/>
  <c r="D47" i="7"/>
  <c r="D50" i="7"/>
  <c r="D44" i="7"/>
  <c r="D48" i="7"/>
  <c r="D49" i="7"/>
  <c r="D38" i="7"/>
  <c r="D36" i="7"/>
  <c r="D42" i="7"/>
  <c r="D46" i="7"/>
  <c r="D45" i="7"/>
  <c r="D4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4" authorId="0" shapeId="0" xr:uid="{4563209B-AACD-704D-A715-734D9228E28F}">
      <text>
        <r>
          <rPr>
            <b/>
            <sz val="10"/>
            <color rgb="FF000000"/>
            <rFont val="Tahoma"/>
            <family val="2"/>
          </rPr>
          <t>Stephen Hinde:</t>
        </r>
        <r>
          <rPr>
            <sz val="10"/>
            <color rgb="FF000000"/>
            <rFont val="Tahoma"/>
            <family val="2"/>
          </rPr>
          <t xml:space="preserve">Revision date of the brevet details on this sheet
</t>
        </r>
        <r>
          <rPr>
            <sz val="10"/>
            <color rgb="FF000000"/>
            <rFont val="Tahoma"/>
            <family val="2"/>
          </rPr>
          <t>Date format:  ddmmmyy eg 05may24</t>
        </r>
      </text>
    </comment>
    <comment ref="B6"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1200, 1000, 600, 400, 300, 200, 150, 100, 50, 25
</t>
        </r>
      </text>
    </comment>
    <comment ref="B7" authorId="1" shapeId="0" xr:uid="{00000000-0006-0000-0000-000002000000}">
      <text>
        <r>
          <rPr>
            <sz val="8"/>
            <color rgb="FF000000"/>
            <rFont val="Tahoma"/>
            <family val="2"/>
          </rPr>
          <t>Autocalculated based on ACP specified times</t>
        </r>
      </text>
    </comment>
    <comment ref="B8" authorId="0" shapeId="0" xr:uid="{3C1C451D-6AE0-F242-A53A-80693F934BEF}">
      <text>
        <r>
          <rPr>
            <b/>
            <sz val="10"/>
            <color rgb="FF000000"/>
            <rFont val="Tahoma"/>
            <family val="2"/>
          </rPr>
          <t>Stephen Hinde:</t>
        </r>
        <r>
          <rPr>
            <sz val="10"/>
            <color rgb="FF000000"/>
            <rFont val="Tahoma"/>
            <family val="2"/>
          </rPr>
          <t xml:space="preserve">
</t>
        </r>
        <r>
          <rPr>
            <sz val="10"/>
            <color rgb="FF000000"/>
            <rFont val="Tahoma"/>
            <family val="2"/>
          </rPr>
          <t xml:space="preserve">Name of event
</t>
        </r>
      </text>
    </comment>
    <comment ref="B9"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10"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F10" authorId="0" shapeId="0" xr:uid="{C2700BB7-AC40-4846-9773-3956CB914942}">
      <text>
        <r>
          <rPr>
            <b/>
            <sz val="10"/>
            <color rgb="FF000000"/>
            <rFont val="Tahoma"/>
            <family val="2"/>
          </rPr>
          <t>Stephen Hinde:</t>
        </r>
        <r>
          <rPr>
            <sz val="10"/>
            <color rgb="FF000000"/>
            <rFont val="Tahoma"/>
            <family val="2"/>
          </rPr>
          <t xml:space="preserve">
</t>
        </r>
        <r>
          <rPr>
            <sz val="10"/>
            <color rgb="FF000000"/>
            <rFont val="Tahoma"/>
            <family val="2"/>
          </rPr>
          <t xml:space="preserve">Optional.  </t>
        </r>
      </text>
    </comment>
    <comment ref="B12" authorId="0" shapeId="0" xr:uid="{23558CA1-4512-6144-8D64-23E7C0C33489}">
      <text>
        <r>
          <rPr>
            <b/>
            <sz val="10"/>
            <color rgb="FF000000"/>
            <rFont val="Tahoma"/>
            <family val="2"/>
          </rPr>
          <t>Stephen Hinde:</t>
        </r>
        <r>
          <rPr>
            <sz val="10"/>
            <color rgb="FF000000"/>
            <rFont val="Tahoma"/>
            <family val="2"/>
          </rPr>
          <t xml:space="preserve">
</t>
        </r>
        <r>
          <rPr>
            <sz val="10"/>
            <color rgb="FF000000"/>
            <rFont val="Tahoma"/>
            <family val="2"/>
          </rPr>
          <t xml:space="preserve">Ride date
</t>
        </r>
        <r>
          <rPr>
            <sz val="10"/>
            <color rgb="FF000000"/>
            <rFont val="Tahoma"/>
            <family val="2"/>
          </rPr>
          <t xml:space="preserve">format: ddmmmyy
</t>
        </r>
        <r>
          <rPr>
            <sz val="10"/>
            <color rgb="FF000000"/>
            <rFont val="Tahoma"/>
            <family val="2"/>
          </rPr>
          <t>eg 05may24</t>
        </r>
      </text>
    </comment>
    <comment ref="B13" authorId="0" shapeId="0" xr:uid="{B42762EC-1925-AE46-9F2A-7C3A271E16AF}">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 ref="F14" authorId="0" shapeId="0" xr:uid="{E6B5DB4F-63CC-9A4E-B02A-4C28633B0FBD}">
      <text>
        <r>
          <rPr>
            <b/>
            <sz val="10"/>
            <color rgb="FF000000"/>
            <rFont val="Tahoma"/>
            <family val="2"/>
          </rPr>
          <t>Stephen Hinde:</t>
        </r>
        <r>
          <rPr>
            <sz val="10"/>
            <color rgb="FF000000"/>
            <rFont val="Tahoma"/>
            <family val="2"/>
          </rPr>
          <t xml:space="preserve">
</t>
        </r>
        <r>
          <rPr>
            <sz val="10"/>
            <color rgb="FF000000"/>
            <rFont val="Tahoma"/>
            <family val="2"/>
          </rPr>
          <t xml:space="preserve">It is recommended to put the type of control in this space ie 
</t>
        </r>
        <r>
          <rPr>
            <sz val="10"/>
            <color rgb="FF000000"/>
            <rFont val="Tahoma"/>
            <family val="2"/>
          </rPr>
          <t xml:space="preserve">STAFFED
</t>
        </r>
        <r>
          <rPr>
            <sz val="10"/>
            <color rgb="FF000000"/>
            <rFont val="Tahoma"/>
            <family val="2"/>
          </rPr>
          <t xml:space="preserve">BUSINESS INFORMATION
</t>
        </r>
        <r>
          <rPr>
            <sz val="10"/>
            <color rgb="FF000000"/>
            <rFont val="Tahoma"/>
            <family val="2"/>
          </rPr>
          <t>SELF CHECK</t>
        </r>
      </text>
    </comment>
  </commentList>
</comments>
</file>

<file path=xl/sharedStrings.xml><?xml version="1.0" encoding="utf-8"?>
<sst xmlns="http://schemas.openxmlformats.org/spreadsheetml/2006/main" count="155" uniqueCount="107">
  <si>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</si>
  <si>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</si>
  <si>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</si>
  <si>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</si>
  <si>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</si>
  <si>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</si>
  <si>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</si>
  <si>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</si>
  <si>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</si>
  <si>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</si>
  <si>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</si>
  <si>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</si>
  <si>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</si>
  <si>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</si>
  <si>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</si>
  <si>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</si>
  <si>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</si>
  <si>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</si>
  <si>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</si>
  <si>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</si>
  <si>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</si>
  <si>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</si>
  <si>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</si>
  <si>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</si>
  <si>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</si>
  <si>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</si>
  <si>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DIST (km)</t>
  </si>
  <si>
    <t>Establishment</t>
  </si>
  <si>
    <t>Time of Passage</t>
  </si>
  <si>
    <t>Control Card</t>
  </si>
  <si>
    <t>Report results or abandonment through registration email link</t>
  </si>
  <si>
    <t>Member #</t>
  </si>
  <si>
    <t>Schedule date:</t>
  </si>
  <si>
    <t>Founding member of LES RANDONNEURS MONDIAUX (1983)</t>
  </si>
  <si>
    <t>Bicycle Type
Circle one</t>
  </si>
  <si>
    <t>-------&gt;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</si>
  <si>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</si>
  <si>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</si>
  <si>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</si>
  <si>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</si>
  <si>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</si>
  <si>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</si>
  <si>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</si>
  <si>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</si>
  <si>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</si>
  <si>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</si>
  <si>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When using information controls, you can put your question in the Signature/Answer section eg Sig/Ans.1 Sign on main door  Sig/Ans. 2  This week's special is?  Sig/Ans. 3 ________________</t>
  </si>
  <si>
    <t>Control Card #1 Information Control Question (optional)</t>
  </si>
  <si>
    <t>Enter the start time.  This will be the official ACP listed start time found on the event page, unless a ride window has been enabled.</t>
  </si>
  <si>
    <t>Enter the start date.  This will be the same as the schedule date, exceot for pre-rides or unless a ride window has been enabled.</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</si>
  <si>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</si>
  <si>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</si>
  <si>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</si>
  <si>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Scroll right to see further instructions</t>
  </si>
  <si>
    <t xml:space="preserve">Card Revised:  </t>
  </si>
  <si>
    <t>DO NOT MOVE OR DELETE ROWS OR COLUMNS (delete contents of cells only)</t>
  </si>
  <si>
    <t xml:space="preserve">Organizer: </t>
  </si>
  <si>
    <t>Single     Tandem     Fixed     Recumbent     Velomobile</t>
  </si>
  <si>
    <t>Card revised:</t>
  </si>
  <si>
    <t>Template revised:</t>
  </si>
  <si>
    <t>Brevet #</t>
  </si>
  <si>
    <t>Rider:</t>
  </si>
  <si>
    <t>Finish Date:</t>
  </si>
  <si>
    <t>Start time:</t>
  </si>
  <si>
    <t>Finish time:</t>
  </si>
  <si>
    <t>Elapsed time:</t>
  </si>
  <si>
    <t>Organizer phone #</t>
  </si>
  <si>
    <t>Organizer phone number is optional</t>
  </si>
  <si>
    <t>Fill in the Locale (city) for each control.  Establishment 1, 2, and 3 can be used to describe the control itself eg Locale HOPE  Est.1  BUSINESS Est.2 Dairy Queen Est.3 817 Water Ave .  For a secret control, use SECRET as the locale.</t>
  </si>
  <si>
    <t>Control Card #2</t>
  </si>
  <si>
    <t>Control Card #2 Information Control Question (optional)</t>
  </si>
  <si>
    <t>You can create 2control cards  (upto 20 controls) for one event, or 2control cards (up to 10 controls) with different start loctions for a single event.</t>
  </si>
  <si>
    <t>Fill in the control distance.  The opening and closing times will be automatically calculated based on the start time and the brevet distance.  If you need more than 10 controls, or need an alternate start loction, use card #2, otherwise leave that section blank.</t>
  </si>
  <si>
    <t>(circle)</t>
  </si>
  <si>
    <t>Coombs Cumberland Explorer</t>
  </si>
  <si>
    <t>PARKSVILLE</t>
  </si>
  <si>
    <t>STAFFED</t>
  </si>
  <si>
    <t>Starbucks</t>
  </si>
  <si>
    <t>382 Island Hwy E @ Mills St</t>
  </si>
  <si>
    <t>ERRINGTON</t>
  </si>
  <si>
    <t>INFORMATION</t>
  </si>
  <si>
    <t>Englishman River Provincial Park</t>
  </si>
  <si>
    <t>Parking lot, end of Errington Rd</t>
  </si>
  <si>
    <t>Main sign to left of trail to falls</t>
  </si>
  <si>
    <t>Left panel "Things to do"</t>
  </si>
  <si>
    <t>"Playground near campsite __________"</t>
  </si>
  <si>
    <t>QUALICUM BEACH</t>
  </si>
  <si>
    <t>Little Qualicum River Regional Park</t>
  </si>
  <si>
    <t>Parking lot, 1505 Meadowood Way</t>
  </si>
  <si>
    <t>Face back on route, signpost on right</t>
  </si>
  <si>
    <t>"Don't be an ___________ target"</t>
  </si>
  <si>
    <t>COURTENAY</t>
  </si>
  <si>
    <t>BUSINESS</t>
  </si>
  <si>
    <t>D's Café</t>
  </si>
  <si>
    <t>Airpark Marina,102A 20th St</t>
  </si>
  <si>
    <t>CUMBERLAND</t>
  </si>
  <si>
    <t>Cumberland Lake Park Campground</t>
  </si>
  <si>
    <t>1100 Comox Lake Rd</t>
  </si>
  <si>
    <t>Far end of lot, past picnic shelter</t>
  </si>
  <si>
    <t>Ginger Goodwin Story' sign</t>
  </si>
  <si>
    <t>"…on Miners _____________Day…"</t>
  </si>
  <si>
    <t>QUALICUM BAY</t>
  </si>
  <si>
    <t>Cone Zone</t>
  </si>
  <si>
    <t>5970 Island Hwy W</t>
  </si>
  <si>
    <t>Shell Gas</t>
  </si>
  <si>
    <t>370 Island Hwy E @ McVickers St</t>
  </si>
  <si>
    <t>‭+1 (250) 792-3126‬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</si>
</sst>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numFmts>
  <fonts count="36"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sz val="18"/>
      <name val="Arial"/>
      <family val="2"/>
    </font>
    <font>
      <sz val="14"/>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6"/>
      <color rgb="FFFF0000"/>
      <name val="Arial"/>
      <family val="2"/>
    </font>
    <font>
      <sz val="9"/>
      <name val="Arial"/>
      <family val="2"/>
    </font>
    <font>
      <sz val="11"/>
      <name val="Arial Narrow"/>
      <family val="2"/>
    </font>
    <font>
      <sz val="22"/>
      <name val="Arial"/>
      <family val="2"/>
    </font>
    <font>
      <b/>
      <sz val="18"/>
      <name val="Arial"/>
      <family val="2"/>
    </font>
    <font>
      <sz val="14"/>
      <color rgb="FFFF0000"/>
      <name val="Arial"/>
      <family val="2"/>
    </font>
    <font>
      <sz val="11"/>
      <name val="Arial"/>
      <family val="2"/>
    </font>
    <font>
      <sz val="11"/>
      <color rgb="FFFF0000"/>
      <name val="Arial"/>
      <family val="2"/>
    </font>
    <font>
      <b/>
      <sz val="22"/>
      <name val="Arial"/>
      <family val="2"/>
    </font>
    <font>
      <sz val="20"/>
      <name val="Arial Narrow"/>
      <family val="2"/>
    </font>
    <font>
      <b/>
      <sz val="20"/>
      <name val="Arial Narrow"/>
      <family val="2"/>
    </font>
  </fonts>
  <fills count="3">
    <fill>
      <patternFill patternType="none"/>
    </fill>
    <fill>
      <patternFill patternType="gray125"/>
    </fill>
    <fill>
      <patternFill patternType="solid">
        <fgColor indexed="22"/>
        <bgColor indexed="64"/>
      </patternFill>
    </fill>
  </fills>
  <borders count="31">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right/>
      <top/>
      <bottom style="double">
        <color indexed="64"/>
      </bottom>
      <diagonal/>
    </border>
    <border>
      <left style="medium">
        <color auto="1"/>
      </left>
      <right/>
      <top/>
      <bottom style="thin">
        <color auto="1"/>
      </bottom>
      <diagonal/>
    </border>
  </borders>
  <cellStyleXfs count="356">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1" fillId="0" borderId="0"/>
    <xf numFmtId="0" fontId="4" fillId="0" borderId="0"/>
    <xf numFmtId="0" fontId="5" fillId="0" borderId="0"/>
    <xf numFmtId="0" fontId="3" fillId="0" borderId="0"/>
    <xf numFmtId="0" fontId="2" fillId="0" borderId="0"/>
    <xf numFmtId="0" fontId="1"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142">
    <xf numFmtId="0" fontId="0" fillId="0" borderId="0" xfId="0"/>
    <xf numFmtId="0" fontId="0" fillId="0" borderId="0" xfId="0" applyAlignment="1">
      <alignment horizontal="right"/>
    </xf>
    <xf numFmtId="0" fontId="0" fillId="0" borderId="0" xfId="0" applyProtection="1">
      <protection hidden="1"/>
    </xf>
    <xf numFmtId="164" fontId="0" fillId="0" borderId="0" xfId="0" applyNumberFormat="1"/>
    <xf numFmtId="164" fontId="0" fillId="0" borderId="0" xfId="0" applyNumberFormat="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0" borderId="0" xfId="0" applyAlignment="1">
      <alignment vertical="top" textRotation="90"/>
    </xf>
    <xf numFmtId="0" fontId="0" fillId="0" borderId="0" xfId="0" applyAlignment="1" applyProtection="1">
      <alignment horizontal="centerContinuous"/>
      <protection hidden="1"/>
    </xf>
    <xf numFmtId="0" fontId="0" fillId="0" borderId="0" xfId="0" applyAlignment="1">
      <alignment horizontal="centerContinuous"/>
    </xf>
    <xf numFmtId="167" fontId="0" fillId="0" borderId="13" xfId="0" applyNumberFormat="1" applyBorder="1" applyProtection="1">
      <protection locked="0"/>
    </xf>
    <xf numFmtId="0" fontId="0" fillId="0" borderId="0" xfId="0" applyAlignment="1">
      <alignment horizontal="center"/>
    </xf>
    <xf numFmtId="0" fontId="10" fillId="0" borderId="0" xfId="0" applyFont="1" applyAlignment="1">
      <alignment horizontal="right"/>
    </xf>
    <xf numFmtId="0" fontId="5" fillId="2" borderId="3" xfId="0" applyFont="1" applyFill="1" applyBorder="1" applyAlignment="1">
      <alignment horizontal="right"/>
    </xf>
    <xf numFmtId="0" fontId="10" fillId="0" borderId="0" xfId="0" applyFont="1" applyAlignment="1">
      <alignment vertical="center"/>
    </xf>
    <xf numFmtId="167" fontId="0" fillId="0" borderId="23" xfId="0" applyNumberFormat="1" applyBorder="1" applyProtection="1">
      <protection locked="0"/>
    </xf>
    <xf numFmtId="168" fontId="10" fillId="0" borderId="0" xfId="0" applyNumberFormat="1" applyFont="1" applyAlignment="1">
      <alignment horizontal="center"/>
    </xf>
    <xf numFmtId="0" fontId="10" fillId="0" borderId="0" xfId="0" applyFont="1" applyAlignment="1">
      <alignment horizontal="center"/>
    </xf>
    <xf numFmtId="18" fontId="20" fillId="0" borderId="0" xfId="0" applyNumberFormat="1" applyFont="1" applyAlignment="1">
      <alignment horizontal="center" wrapText="1"/>
    </xf>
    <xf numFmtId="0" fontId="24" fillId="2" borderId="12" xfId="0" applyFont="1" applyFill="1" applyBorder="1"/>
    <xf numFmtId="0" fontId="24" fillId="2" borderId="10" xfId="0" applyFont="1" applyFill="1" applyBorder="1"/>
    <xf numFmtId="167" fontId="0" fillId="0" borderId="22" xfId="0" applyNumberFormat="1" applyBorder="1" applyProtection="1">
      <protection locked="0"/>
    </xf>
    <xf numFmtId="0" fontId="12" fillId="0" borderId="18" xfId="0" applyFont="1" applyBorder="1" applyProtection="1">
      <protection locked="0"/>
    </xf>
    <xf numFmtId="49" fontId="12" fillId="0" borderId="18" xfId="0" applyNumberFormat="1" applyFont="1" applyBorder="1" applyAlignment="1" applyProtection="1">
      <alignment horizontal="center"/>
      <protection locked="0"/>
    </xf>
    <xf numFmtId="49" fontId="12" fillId="0" borderId="8" xfId="0" applyNumberFormat="1" applyFont="1" applyBorder="1" applyAlignment="1" applyProtection="1">
      <alignment horizontal="center"/>
      <protection locked="0"/>
    </xf>
    <xf numFmtId="0" fontId="12" fillId="0" borderId="2" xfId="0" applyFont="1" applyBorder="1" applyProtection="1">
      <protection locked="0"/>
    </xf>
    <xf numFmtId="1" fontId="12" fillId="0" borderId="4" xfId="0" applyNumberFormat="1" applyFont="1" applyBorder="1" applyProtection="1">
      <protection locked="0"/>
    </xf>
    <xf numFmtId="15" fontId="12" fillId="0" borderId="4" xfId="0" applyNumberFormat="1" applyFont="1" applyBorder="1" applyProtection="1">
      <protection locked="0"/>
    </xf>
    <xf numFmtId="20" fontId="12" fillId="0" borderId="8" xfId="0" applyNumberFormat="1" applyFont="1" applyBorder="1" applyProtection="1">
      <protection locked="0"/>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4" xfId="0" applyFont="1" applyBorder="1" applyProtection="1">
      <protection locked="0"/>
    </xf>
    <xf numFmtId="167" fontId="0" fillId="0" borderId="0" xfId="0" applyNumberFormat="1"/>
    <xf numFmtId="0" fontId="9" fillId="0" borderId="0" xfId="0" applyFont="1"/>
    <xf numFmtId="0" fontId="5" fillId="0" borderId="0" xfId="0" applyFont="1"/>
    <xf numFmtId="0" fontId="0" fillId="2" borderId="26" xfId="0" applyFill="1" applyBorder="1" applyAlignment="1">
      <alignment horizontal="right"/>
    </xf>
    <xf numFmtId="15" fontId="12" fillId="0" borderId="25" xfId="0" applyNumberFormat="1" applyFont="1" applyBorder="1" applyProtection="1">
      <protection locked="0"/>
    </xf>
    <xf numFmtId="0" fontId="5" fillId="2" borderId="27" xfId="0" applyFont="1" applyFill="1" applyBorder="1" applyAlignment="1">
      <alignment horizontal="right"/>
    </xf>
    <xf numFmtId="0" fontId="5" fillId="0" borderId="0" xfId="0" applyFont="1" applyAlignment="1">
      <alignment wrapText="1"/>
    </xf>
    <xf numFmtId="0" fontId="0" fillId="0" borderId="0" xfId="0" applyProtection="1">
      <protection locked="0"/>
    </xf>
    <xf numFmtId="15" fontId="27" fillId="0" borderId="4" xfId="0" applyNumberFormat="1" applyFont="1" applyBorder="1" applyAlignment="1" applyProtection="1">
      <alignment horizontal="center"/>
      <protection locked="0"/>
    </xf>
    <xf numFmtId="0" fontId="26" fillId="2" borderId="27" xfId="0" applyFont="1" applyFill="1" applyBorder="1" applyAlignment="1">
      <alignment horizontal="right"/>
    </xf>
    <xf numFmtId="0" fontId="26" fillId="0" borderId="0" xfId="0" applyFont="1"/>
    <xf numFmtId="0" fontId="26" fillId="0" borderId="0" xfId="0" applyFont="1" applyAlignment="1">
      <alignment wrapText="1"/>
    </xf>
    <xf numFmtId="0" fontId="7" fillId="2" borderId="15" xfId="0" applyFont="1" applyFill="1" applyBorder="1" applyAlignment="1">
      <alignment horizontal="center" wrapText="1"/>
    </xf>
    <xf numFmtId="0" fontId="10" fillId="0" borderId="0" xfId="0" applyFont="1" applyAlignment="1">
      <alignment vertical="center" wrapText="1"/>
    </xf>
    <xf numFmtId="0" fontId="16" fillId="0" borderId="0" xfId="0" applyFont="1"/>
    <xf numFmtId="0" fontId="10" fillId="0" borderId="0" xfId="0" applyFont="1" applyProtection="1">
      <protection locked="0"/>
    </xf>
    <xf numFmtId="0" fontId="11" fillId="0" borderId="0" xfId="0" applyFont="1" applyAlignment="1">
      <alignment vertical="center"/>
    </xf>
    <xf numFmtId="0" fontId="6" fillId="0" borderId="0" xfId="0" applyFont="1" applyAlignment="1">
      <alignment vertical="top"/>
    </xf>
    <xf numFmtId="0" fontId="5" fillId="0" borderId="0" xfId="0" applyFont="1" applyAlignment="1">
      <alignment vertical="top"/>
    </xf>
    <xf numFmtId="0" fontId="0" fillId="0" borderId="0" xfId="0" applyAlignment="1">
      <alignment vertical="top"/>
    </xf>
    <xf numFmtId="0" fontId="11" fillId="0" borderId="0" xfId="0" applyFont="1" applyAlignment="1">
      <alignment horizontal="right" vertical="center"/>
    </xf>
    <xf numFmtId="0" fontId="5" fillId="0" borderId="0" xfId="0" applyFont="1" applyAlignment="1">
      <alignment horizontal="right"/>
    </xf>
    <xf numFmtId="0" fontId="11" fillId="0" borderId="0" xfId="0" applyFont="1" applyAlignment="1">
      <alignment horizontal="left" vertical="center"/>
    </xf>
    <xf numFmtId="0" fontId="11" fillId="0" borderId="29" xfId="0" applyFont="1" applyBorder="1" applyAlignment="1">
      <alignment horizontal="right" vertical="center"/>
    </xf>
    <xf numFmtId="0" fontId="11" fillId="0" borderId="29" xfId="0" applyFont="1" applyBorder="1" applyAlignment="1">
      <alignment vertical="center"/>
    </xf>
    <xf numFmtId="0" fontId="11" fillId="0" borderId="29" xfId="0" applyFont="1" applyBorder="1" applyAlignment="1">
      <alignment horizontal="left" vertical="center"/>
    </xf>
    <xf numFmtId="0" fontId="10" fillId="0" borderId="0" xfId="0" quotePrefix="1" applyFont="1" applyAlignment="1">
      <alignment horizontal="left" vertical="center"/>
    </xf>
    <xf numFmtId="0" fontId="0" fillId="0" borderId="18" xfId="0" applyBorder="1" applyProtection="1">
      <protection locked="0"/>
    </xf>
    <xf numFmtId="0" fontId="28" fillId="0" borderId="0" xfId="0" applyFont="1" applyAlignment="1">
      <alignment horizontal="right" vertical="center"/>
    </xf>
    <xf numFmtId="0" fontId="16" fillId="0" borderId="0" xfId="0" applyFont="1" applyAlignment="1">
      <alignment vertical="top"/>
    </xf>
    <xf numFmtId="18" fontId="20" fillId="0" borderId="18" xfId="0" applyNumberFormat="1" applyFont="1" applyBorder="1" applyAlignment="1">
      <alignment horizontal="center" wrapText="1"/>
    </xf>
    <xf numFmtId="168" fontId="10" fillId="0" borderId="18" xfId="0" applyNumberFormat="1" applyFont="1" applyBorder="1" applyAlignment="1" applyProtection="1">
      <alignment horizontal="center"/>
      <protection locked="0"/>
    </xf>
    <xf numFmtId="0" fontId="10" fillId="0" borderId="0" xfId="0" applyFont="1" applyAlignment="1">
      <alignment horizontal="left" vertical="center"/>
    </xf>
    <xf numFmtId="0" fontId="28" fillId="0" borderId="0" xfId="0" applyFont="1" applyAlignment="1">
      <alignment horizontal="left" vertical="center"/>
    </xf>
    <xf numFmtId="15" fontId="26" fillId="2" borderId="2" xfId="0" applyNumberFormat="1" applyFont="1" applyFill="1" applyBorder="1" applyAlignment="1">
      <alignment horizontal="center"/>
    </xf>
    <xf numFmtId="168" fontId="10" fillId="0" borderId="0" xfId="0" applyNumberFormat="1" applyFont="1" applyAlignment="1" applyProtection="1">
      <alignment horizontal="center"/>
      <protection locked="0"/>
    </xf>
    <xf numFmtId="0" fontId="16" fillId="0" borderId="0" xfId="0" applyFont="1" applyAlignment="1">
      <alignment vertical="center" wrapText="1"/>
    </xf>
    <xf numFmtId="0" fontId="0" fillId="0" borderId="0" xfId="0" applyAlignment="1">
      <alignment horizontal="left"/>
    </xf>
    <xf numFmtId="0" fontId="5" fillId="0" borderId="0" xfId="0" applyFont="1" applyAlignment="1">
      <alignment horizontal="right" vertical="top"/>
    </xf>
    <xf numFmtId="15" fontId="5" fillId="0" borderId="0" xfId="0" applyNumberFormat="1" applyFont="1" applyAlignment="1">
      <alignment horizontal="left"/>
    </xf>
    <xf numFmtId="0" fontId="7" fillId="0" borderId="0" xfId="0" applyFont="1" applyAlignment="1">
      <alignment horizontal="right" vertical="top"/>
    </xf>
    <xf numFmtId="15" fontId="7" fillId="0" borderId="0" xfId="0" applyNumberFormat="1" applyFont="1" applyAlignment="1">
      <alignment horizontal="left"/>
    </xf>
    <xf numFmtId="0" fontId="5" fillId="2" borderId="25" xfId="0" applyFont="1" applyFill="1" applyBorder="1" applyAlignment="1">
      <alignment horizontal="right" vertical="center"/>
    </xf>
    <xf numFmtId="169" fontId="11" fillId="0" borderId="0" xfId="0" applyNumberFormat="1" applyFont="1" applyAlignment="1">
      <alignment vertical="center"/>
    </xf>
    <xf numFmtId="169" fontId="0" fillId="0" borderId="25" xfId="0" applyNumberFormat="1" applyBorder="1" applyAlignment="1" applyProtection="1">
      <alignment horizontal="left"/>
      <protection locked="0"/>
    </xf>
    <xf numFmtId="0" fontId="0" fillId="2" borderId="30" xfId="0" applyFill="1" applyBorder="1" applyAlignment="1">
      <alignment horizontal="right"/>
    </xf>
    <xf numFmtId="0" fontId="0" fillId="2" borderId="17" xfId="0" applyFill="1" applyBorder="1"/>
    <xf numFmtId="0" fontId="12" fillId="0" borderId="0" xfId="0" applyFont="1" applyProtection="1">
      <protection locked="0"/>
    </xf>
    <xf numFmtId="0" fontId="32" fillId="0" borderId="0" xfId="0" applyFont="1"/>
    <xf numFmtId="0" fontId="31" fillId="0" borderId="0" xfId="0" applyFont="1"/>
    <xf numFmtId="0" fontId="31" fillId="0" borderId="0" xfId="0" applyFont="1" applyAlignment="1">
      <alignment vertical="top" wrapText="1"/>
    </xf>
    <xf numFmtId="167" fontId="34" fillId="0" borderId="16" xfId="0" applyNumberFormat="1" applyFont="1" applyBorder="1" applyAlignment="1">
      <alignment horizontal="center" wrapText="1"/>
    </xf>
    <xf numFmtId="0" fontId="34" fillId="0" borderId="17" xfId="0" applyFont="1" applyBorder="1" applyAlignment="1">
      <alignment horizontal="center" vertical="center"/>
    </xf>
    <xf numFmtId="0" fontId="35" fillId="0" borderId="16" xfId="0" applyFont="1" applyBorder="1" applyAlignment="1">
      <alignment horizontal="center" vertical="center" wrapText="1"/>
    </xf>
    <xf numFmtId="0" fontId="8" fillId="0" borderId="28" xfId="0" applyFont="1" applyBorder="1"/>
    <xf numFmtId="167" fontId="35" fillId="0" borderId="16" xfId="0" applyNumberFormat="1" applyFont="1" applyBorder="1" applyAlignment="1">
      <alignment horizontal="center" vertical="center"/>
    </xf>
    <xf numFmtId="18" fontId="35" fillId="0" borderId="16" xfId="0" applyNumberFormat="1" applyFont="1" applyBorder="1" applyAlignment="1">
      <alignment horizontal="center" vertical="center" wrapText="1"/>
    </xf>
    <xf numFmtId="0" fontId="8" fillId="0" borderId="16" xfId="0" applyFont="1" applyBorder="1"/>
    <xf numFmtId="167" fontId="34" fillId="0" borderId="7" xfId="0" applyNumberFormat="1" applyFont="1" applyBorder="1"/>
    <xf numFmtId="0" fontId="34" fillId="0" borderId="18" xfId="0" applyFont="1" applyBorder="1" applyAlignment="1">
      <alignment horizontal="center" vertical="center"/>
    </xf>
    <xf numFmtId="0" fontId="35" fillId="0" borderId="7" xfId="0" applyFont="1" applyBorder="1" applyAlignment="1">
      <alignment horizontal="center" vertical="center" wrapText="1"/>
    </xf>
    <xf numFmtId="0" fontId="8" fillId="0" borderId="7" xfId="0" applyFont="1" applyBorder="1"/>
    <xf numFmtId="0" fontId="34" fillId="0" borderId="16" xfId="0" applyFont="1" applyBorder="1" applyAlignment="1">
      <alignment horizontal="center" vertical="center"/>
    </xf>
    <xf numFmtId="166" fontId="20" fillId="0" borderId="16" xfId="0" applyNumberFormat="1" applyFont="1" applyBorder="1" applyAlignment="1">
      <alignment horizontal="center" vertical="center" wrapText="1"/>
    </xf>
    <xf numFmtId="165" fontId="20" fillId="0" borderId="7" xfId="0" applyNumberFormat="1" applyFont="1" applyBorder="1" applyAlignment="1">
      <alignment horizontal="center" vertical="center" wrapText="1"/>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25" fillId="0" borderId="0" xfId="0" applyFont="1" applyAlignment="1">
      <alignment horizontal="center"/>
    </xf>
    <xf numFmtId="0" fontId="12" fillId="0" borderId="25" xfId="0" applyFont="1" applyBorder="1" applyAlignment="1" applyProtection="1">
      <alignment horizontal="center"/>
      <protection locked="0"/>
    </xf>
    <xf numFmtId="0" fontId="31" fillId="0" borderId="0" xfId="0" applyFont="1" applyAlignment="1">
      <alignment horizontal="left" vertical="top" wrapText="1"/>
    </xf>
    <xf numFmtId="0" fontId="30" fillId="0" borderId="0" xfId="0" applyFont="1" applyAlignment="1">
      <alignment horizontal="right"/>
    </xf>
    <xf numFmtId="0" fontId="10" fillId="0" borderId="0" xfId="0" applyFont="1" applyAlignment="1">
      <alignment horizontal="right" vertical="center"/>
    </xf>
    <xf numFmtId="15" fontId="0" fillId="0" borderId="0" xfId="0" applyNumberFormat="1" applyAlignment="1">
      <alignment horizontal="left" vertical="top"/>
    </xf>
    <xf numFmtId="0" fontId="0" fillId="0" borderId="0" xfId="0" applyAlignment="1">
      <alignment horizontal="left" vertical="top"/>
    </xf>
    <xf numFmtId="0" fontId="35" fillId="0" borderId="19" xfId="0" applyFont="1" applyBorder="1" applyAlignment="1" applyProtection="1">
      <alignment horizontal="center" vertical="center" wrapText="1"/>
      <protection locked="0"/>
    </xf>
    <xf numFmtId="0" fontId="35" fillId="0" borderId="20" xfId="0" applyFont="1" applyBorder="1" applyAlignment="1" applyProtection="1">
      <alignment horizontal="center" vertical="center" wrapText="1"/>
      <protection locked="0"/>
    </xf>
    <xf numFmtId="0" fontId="35" fillId="0" borderId="21" xfId="0" applyFont="1" applyBorder="1" applyAlignment="1" applyProtection="1">
      <alignment horizontal="center" vertical="center" wrapText="1"/>
      <protection locked="0"/>
    </xf>
    <xf numFmtId="0" fontId="35" fillId="0" borderId="6" xfId="0" applyFont="1" applyBorder="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5" fillId="0" borderId="17" xfId="0" applyFont="1" applyBorder="1" applyAlignment="1" applyProtection="1">
      <alignment horizontal="center" vertical="center" wrapText="1"/>
      <protection locked="0"/>
    </xf>
    <xf numFmtId="0" fontId="35" fillId="0" borderId="22" xfId="0" applyFont="1" applyBorder="1" applyAlignment="1" applyProtection="1">
      <alignment horizontal="center" vertical="center" wrapText="1"/>
      <protection locked="0"/>
    </xf>
    <xf numFmtId="0" fontId="35" fillId="0" borderId="18" xfId="0" applyFont="1" applyBorder="1" applyAlignment="1" applyProtection="1">
      <alignment horizontal="center" vertical="center" wrapText="1"/>
      <protection locked="0"/>
    </xf>
    <xf numFmtId="0" fontId="35" fillId="0" borderId="8" xfId="0" applyFont="1" applyBorder="1" applyAlignment="1" applyProtection="1">
      <alignment horizontal="center" vertical="center" wrapText="1"/>
      <protection locked="0"/>
    </xf>
    <xf numFmtId="0" fontId="29" fillId="0" borderId="0" xfId="0" applyFont="1" applyAlignment="1">
      <alignment horizontal="left" vertical="center"/>
    </xf>
    <xf numFmtId="0" fontId="7" fillId="2" borderId="9" xfId="0" applyFont="1" applyFill="1" applyBorder="1" applyAlignment="1">
      <alignment horizontal="center"/>
    </xf>
    <xf numFmtId="0" fontId="7" fillId="2" borderId="5" xfId="0" applyFont="1" applyFill="1" applyBorder="1" applyAlignment="1">
      <alignment horizontal="center"/>
    </xf>
    <xf numFmtId="0" fontId="7" fillId="2" borderId="10" xfId="0" applyFont="1" applyFill="1" applyBorder="1" applyAlignment="1">
      <alignment horizontal="center"/>
    </xf>
    <xf numFmtId="0" fontId="10" fillId="0" borderId="0" xfId="0" applyFont="1" applyAlignment="1">
      <alignment horizontal="right"/>
    </xf>
    <xf numFmtId="0" fontId="6" fillId="0" borderId="20" xfId="0" applyFont="1" applyBorder="1" applyAlignment="1">
      <alignment horizontal="center" vertical="top"/>
    </xf>
    <xf numFmtId="0" fontId="10" fillId="0" borderId="0" xfId="0" applyFont="1" applyAlignment="1">
      <alignment horizontal="center" vertical="center"/>
    </xf>
    <xf numFmtId="0" fontId="5" fillId="0" borderId="0" xfId="0" applyFont="1" applyAlignment="1">
      <alignment horizontal="left"/>
    </xf>
    <xf numFmtId="0" fontId="18" fillId="0" borderId="18" xfId="0" applyFont="1" applyBorder="1" applyAlignment="1">
      <alignment horizontal="center" vertical="center"/>
    </xf>
    <xf numFmtId="0" fontId="10" fillId="0" borderId="0" xfId="0" applyFont="1" applyAlignment="1">
      <alignment horizontal="right" vertical="center" wrapText="1"/>
    </xf>
    <xf numFmtId="0" fontId="10" fillId="0" borderId="0" xfId="0" applyFont="1" applyAlignment="1">
      <alignment horizontal="left" vertical="center"/>
    </xf>
    <xf numFmtId="2" fontId="0" fillId="0" borderId="0" xfId="0" applyNumberFormat="1" applyAlignment="1">
      <alignment horizontal="center"/>
    </xf>
    <xf numFmtId="2" fontId="0" fillId="0" borderId="18" xfId="0" applyNumberFormat="1" applyBorder="1" applyAlignment="1">
      <alignment horizontal="center"/>
    </xf>
    <xf numFmtId="0" fontId="0" fillId="0" borderId="0" xfId="0" applyAlignment="1">
      <alignment horizontal="center"/>
    </xf>
    <xf numFmtId="0" fontId="0" fillId="0" borderId="18" xfId="0" applyBorder="1" applyAlignment="1">
      <alignment horizontal="center"/>
    </xf>
    <xf numFmtId="0" fontId="33" fillId="0" borderId="0" xfId="0" applyFont="1" applyAlignment="1">
      <alignment horizontal="center" vertical="center" wrapText="1"/>
    </xf>
    <xf numFmtId="0" fontId="9" fillId="0" borderId="0" xfId="0" applyFont="1" applyAlignment="1">
      <alignment horizontal="center"/>
    </xf>
    <xf numFmtId="0" fontId="10" fillId="0" borderId="0" xfId="0" applyFont="1" applyAlignment="1">
      <alignment horizontal="center" vertical="center" wrapText="1"/>
    </xf>
    <xf numFmtId="49" fontId="5" fillId="0" borderId="14" xfId="0" quotePrefix="1" applyNumberFormat="1" applyFont="1" applyBorder="1" applyAlignment="1" applyProtection="1">
      <alignment horizontal="center"/>
      <protection locked="0"/>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ECF1BBFE-B8D6-B945-BD9D-81491EC69EE0}"/>
            </a:ext>
          </a:extLst>
        </xdr:cNvPr>
        <xdr:cNvPicPr>
          <a:picLocks noChangeAspect="1"/>
        </xdr:cNvPicPr>
      </xdr:nvPicPr>
      <xdr:blipFill>
        <a:blip xmlns:r="http://schemas.openxmlformats.org/officeDocument/2006/relationships" r:embed="rId1"/>
        <a:stretch>
          <a:fillRect/>
        </a:stretch>
      </xdr:blipFill>
      <xdr:spPr>
        <a:xfrm>
          <a:off x="101600" y="430977"/>
          <a:ext cx="1714900" cy="13221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6A28C82B-1825-634A-A3AA-8400CD049D08}"/>
            </a:ext>
          </a:extLst>
        </xdr:cNvPr>
        <xdr:cNvPicPr>
          <a:picLocks noChangeAspect="1"/>
        </xdr:cNvPicPr>
      </xdr:nvPicPr>
      <xdr:blipFill>
        <a:blip xmlns:r="http://schemas.openxmlformats.org/officeDocument/2006/relationships" r:embed="rId1"/>
        <a:stretch>
          <a:fillRect/>
        </a:stretch>
      </xdr:blipFill>
      <xdr:spPr>
        <a:xfrm>
          <a:off x="101600" y="418277"/>
          <a:ext cx="1714900" cy="13221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7"/>
  <sheetViews>
    <sheetView showGridLines="0" tabSelected="1" zoomScale="140" zoomScaleNormal="140" zoomScalePageLayoutView="135" workbookViewId="0">
      <selection activeCell="G8" sqref="G8"/>
    </sheetView>
  </sheetViews>
  <sheetFormatPr baseColWidth="10" defaultColWidth="8.83203125" defaultRowHeight="13" x14ac:dyDescent="0.15"/>
  <cols>
    <col min="1" max="1" width="16.5" style="1" customWidth="1"/>
    <col min="2" max="2" width="10.83203125" customWidth="1"/>
    <col min="3" max="3" width="1" style="2" hidden="1" customWidth="1"/>
    <col min="4" max="4" width="8.33203125" customWidth="1"/>
    <col min="5" max="5" width="17" bestFit="1" customWidth="1"/>
    <col min="6" max="11" width="34.1640625" customWidth="1"/>
    <col min="12" max="15" width="17.83203125" hidden="1" customWidth="1"/>
    <col min="16" max="16" width="2.1640625" customWidth="1"/>
  </cols>
  <sheetData>
    <row r="1" spans="1:33" ht="20" customHeight="1" x14ac:dyDescent="0.2">
      <c r="A1" s="107" t="s">
        <v>55</v>
      </c>
      <c r="B1" s="107"/>
      <c r="C1" s="107"/>
      <c r="D1" s="107"/>
      <c r="E1" s="107"/>
      <c r="F1" s="107"/>
      <c r="G1" s="107"/>
      <c r="H1" s="40" t="s">
        <v>53</v>
      </c>
      <c r="Q1" s="109" t="s">
        <v>71</v>
      </c>
      <c r="R1" s="109"/>
      <c r="S1" s="109"/>
      <c r="T1" s="109"/>
      <c r="U1" s="109"/>
      <c r="V1" s="109"/>
      <c r="W1" s="109"/>
      <c r="X1" s="109"/>
      <c r="Y1" s="109"/>
      <c r="Z1" s="109"/>
      <c r="AA1" s="109"/>
      <c r="AB1" s="109"/>
      <c r="AC1" s="109"/>
      <c r="AD1" s="109"/>
      <c r="AE1" s="109"/>
      <c r="AF1" s="109"/>
      <c r="AG1" s="88"/>
    </row>
    <row r="2" spans="1:33" ht="13" customHeight="1" thickBot="1" x14ac:dyDescent="0.2">
      <c r="H2" s="44"/>
      <c r="I2" s="44"/>
      <c r="Q2" s="109"/>
      <c r="R2" s="109"/>
      <c r="S2" s="109"/>
      <c r="T2" s="109"/>
      <c r="U2" s="109"/>
      <c r="V2" s="109"/>
      <c r="W2" s="109"/>
      <c r="X2" s="109"/>
      <c r="Y2" s="109"/>
      <c r="Z2" s="109"/>
      <c r="AA2" s="109"/>
      <c r="AB2" s="109"/>
      <c r="AC2" s="109"/>
      <c r="AD2" s="109"/>
      <c r="AE2" s="109"/>
      <c r="AF2" s="109"/>
      <c r="AG2" s="88"/>
    </row>
    <row r="3" spans="1:33" s="48" customFormat="1" ht="13" customHeight="1" thickBot="1" x14ac:dyDescent="0.2">
      <c r="A3" s="47" t="s">
        <v>52</v>
      </c>
      <c r="B3" s="72">
        <v>45428</v>
      </c>
      <c r="H3" s="49"/>
      <c r="I3" s="49"/>
      <c r="Q3" s="109"/>
      <c r="R3" s="109"/>
      <c r="S3" s="109"/>
      <c r="T3" s="109"/>
      <c r="U3" s="109"/>
      <c r="V3" s="109"/>
      <c r="W3" s="109"/>
      <c r="X3" s="109"/>
      <c r="Y3" s="109"/>
      <c r="Z3" s="109"/>
      <c r="AA3" s="109"/>
      <c r="AB3" s="109"/>
      <c r="AC3" s="109"/>
      <c r="AD3" s="109"/>
      <c r="AE3" s="109"/>
      <c r="AF3" s="109"/>
      <c r="AG3" s="88"/>
    </row>
    <row r="4" spans="1:33" ht="13" customHeight="1" x14ac:dyDescent="0.15">
      <c r="A4" s="43" t="s">
        <v>54</v>
      </c>
      <c r="B4" s="46">
        <v>45516</v>
      </c>
      <c r="C4"/>
      <c r="H4" s="44"/>
      <c r="I4" s="44"/>
      <c r="Q4" s="109"/>
      <c r="R4" s="109"/>
      <c r="S4" s="109"/>
      <c r="T4" s="109"/>
      <c r="U4" s="109"/>
      <c r="V4" s="109"/>
      <c r="W4" s="109"/>
      <c r="X4" s="109"/>
      <c r="Y4" s="109"/>
      <c r="Z4" s="109"/>
      <c r="AA4" s="109"/>
      <c r="AB4" s="109"/>
      <c r="AC4" s="109"/>
      <c r="AD4" s="109"/>
      <c r="AE4" s="109"/>
      <c r="AF4" s="109"/>
      <c r="AG4" s="88"/>
    </row>
    <row r="5" spans="1:33" ht="7" customHeight="1" thickBot="1" x14ac:dyDescent="0.2">
      <c r="H5" s="44"/>
      <c r="I5" s="44"/>
      <c r="Q5" s="88"/>
      <c r="R5" s="88"/>
      <c r="S5" s="88"/>
      <c r="T5" s="88"/>
      <c r="U5" s="88"/>
      <c r="V5" s="88"/>
      <c r="W5" s="88"/>
      <c r="X5" s="88"/>
      <c r="Y5" s="88"/>
      <c r="Z5" s="88"/>
      <c r="AA5" s="88"/>
      <c r="AB5" s="88"/>
      <c r="AC5" s="88"/>
      <c r="AD5" s="88"/>
      <c r="AE5" s="88"/>
      <c r="AF5" s="88"/>
      <c r="AG5" s="88"/>
    </row>
    <row r="6" spans="1:33" ht="18" x14ac:dyDescent="0.2">
      <c r="A6" s="10" t="s">
        <v>15</v>
      </c>
      <c r="B6" s="30">
        <v>200</v>
      </c>
      <c r="C6">
        <f>IF(Brevet_Length&gt;=1200,Brevet_Length,IF(Brevet_Length&gt;=1000,1000,IF(Brevet_Length&gt;=600,600,IF(Brevet_Length&gt;=400,400,IF(Brevet_Length&gt;=300,300,IF(Brevet_Length&gt;=200,200,100))))))</f>
        <v>200</v>
      </c>
      <c r="J6" s="110" t="s">
        <v>40</v>
      </c>
      <c r="K6" s="110"/>
      <c r="Q6" s="86" t="s">
        <v>41</v>
      </c>
      <c r="R6" s="86"/>
      <c r="S6" s="86"/>
      <c r="T6" s="86"/>
      <c r="U6" s="86"/>
      <c r="V6" s="86"/>
      <c r="W6" s="86"/>
      <c r="X6" s="87"/>
      <c r="Y6" s="87"/>
      <c r="Z6" s="87"/>
    </row>
    <row r="7" spans="1:33" ht="14" x14ac:dyDescent="0.15">
      <c r="A7" s="11" t="s">
        <v>16</v>
      </c>
      <c r="B7" s="84">
        <f>IF(brevet=1200,90,IF(brevet=1000,75,IF(brevet=600,40,IF(brevet=400,27,IF(brevet=300,20,IF(brevet=200,13.5,IF(brevet&lt;200,L7,0)))))))</f>
        <v>13.5</v>
      </c>
      <c r="L7">
        <f>IF(Brevet_Length=150,10.5,IF(Brevet_Length=100,7,IF(Brevet_Length=50,3.5,IF(Brevet_Length=25, 2,0))))</f>
        <v>0</v>
      </c>
      <c r="Q7" s="87" t="s">
        <v>42</v>
      </c>
      <c r="R7" s="87"/>
      <c r="S7" s="87"/>
      <c r="T7" s="87"/>
      <c r="U7" s="87"/>
      <c r="V7" s="87"/>
      <c r="W7" s="87"/>
      <c r="X7" s="87"/>
      <c r="Y7" s="87"/>
      <c r="Z7" s="87"/>
    </row>
    <row r="8" spans="1:33" ht="18" x14ac:dyDescent="0.2">
      <c r="A8" s="83" t="s">
        <v>17</v>
      </c>
      <c r="B8" s="108" t="s">
        <v>74</v>
      </c>
      <c r="C8" s="108"/>
      <c r="D8" s="108"/>
      <c r="E8" s="108"/>
      <c r="F8" s="108"/>
      <c r="G8" s="85"/>
      <c r="H8" s="85"/>
      <c r="I8" s="16"/>
      <c r="J8" s="16"/>
      <c r="K8" s="16"/>
      <c r="Q8" s="86" t="s">
        <v>43</v>
      </c>
      <c r="R8" s="87"/>
      <c r="S8" s="87"/>
      <c r="T8" s="87"/>
      <c r="U8" s="87"/>
      <c r="V8" s="87"/>
      <c r="W8" s="87"/>
      <c r="X8" s="87"/>
      <c r="Y8" s="87"/>
      <c r="Z8" s="87"/>
    </row>
    <row r="9" spans="1:33" ht="18" x14ac:dyDescent="0.2">
      <c r="A9" s="11" t="s">
        <v>18</v>
      </c>
      <c r="B9" s="31">
        <v>5412</v>
      </c>
      <c r="C9" s="13"/>
      <c r="F9" s="14"/>
      <c r="G9" s="14"/>
      <c r="H9" s="14"/>
      <c r="I9" s="14"/>
      <c r="J9" s="14"/>
      <c r="K9" s="14"/>
      <c r="Q9" s="86" t="s">
        <v>44</v>
      </c>
      <c r="R9" s="87"/>
      <c r="S9" s="87"/>
      <c r="T9" s="87"/>
      <c r="U9" s="87"/>
      <c r="V9" s="87"/>
      <c r="W9" s="87"/>
      <c r="X9" s="87"/>
      <c r="Y9" s="87"/>
      <c r="Z9" s="87"/>
    </row>
    <row r="10" spans="1:33" ht="18" x14ac:dyDescent="0.2">
      <c r="A10" s="18" t="s">
        <v>32</v>
      </c>
      <c r="B10" s="32">
        <v>45521</v>
      </c>
      <c r="E10" s="80" t="s">
        <v>66</v>
      </c>
      <c r="F10" s="82" t="s">
        <v>106</v>
      </c>
      <c r="Q10" s="86" t="s">
        <v>45</v>
      </c>
      <c r="R10" s="87"/>
      <c r="S10" s="87"/>
      <c r="T10" s="87"/>
      <c r="U10" s="87"/>
      <c r="V10" s="87"/>
      <c r="W10" s="87"/>
      <c r="X10" s="87"/>
      <c r="Y10" s="87"/>
      <c r="Z10" s="87"/>
    </row>
    <row r="11" spans="1:33" ht="6" customHeight="1" x14ac:dyDescent="0.15">
      <c r="B11" s="45"/>
      <c r="Q11" s="87"/>
      <c r="R11" s="87"/>
      <c r="S11" s="87"/>
      <c r="T11" s="87"/>
      <c r="U11" s="87"/>
      <c r="V11" s="87"/>
      <c r="W11" s="87"/>
      <c r="X11" s="87"/>
      <c r="Y11" s="87"/>
      <c r="Z11" s="87"/>
    </row>
    <row r="12" spans="1:33" ht="18" customHeight="1" thickBot="1" x14ac:dyDescent="0.25">
      <c r="A12" s="41" t="s">
        <v>19</v>
      </c>
      <c r="B12" s="42">
        <v>45521</v>
      </c>
      <c r="Q12" s="86" t="s">
        <v>49</v>
      </c>
      <c r="R12" s="87"/>
      <c r="S12" s="87"/>
      <c r="T12" s="87"/>
      <c r="U12" s="87"/>
      <c r="V12" s="87"/>
      <c r="W12" s="87"/>
      <c r="X12" s="87"/>
      <c r="Y12" s="87"/>
      <c r="Z12" s="87"/>
    </row>
    <row r="13" spans="1:33" ht="19" thickBot="1" x14ac:dyDescent="0.25">
      <c r="A13" s="9" t="s">
        <v>20</v>
      </c>
      <c r="B13" s="33">
        <v>0.33333333333333331</v>
      </c>
      <c r="D13" s="103" t="s">
        <v>51</v>
      </c>
      <c r="E13" s="104"/>
      <c r="F13" s="104"/>
      <c r="G13" s="104"/>
      <c r="H13" s="104"/>
      <c r="I13" s="105" t="s">
        <v>47</v>
      </c>
      <c r="J13" s="104"/>
      <c r="K13" s="106"/>
      <c r="Q13" s="86" t="s">
        <v>48</v>
      </c>
      <c r="R13" s="87"/>
      <c r="S13" s="87"/>
      <c r="T13" s="87"/>
      <c r="U13" s="87"/>
      <c r="V13" s="87"/>
      <c r="W13" s="87"/>
      <c r="X13" s="87"/>
      <c r="Y13" s="87"/>
      <c r="Z13" s="87"/>
    </row>
    <row r="14" spans="1:33" ht="15" thickBot="1" x14ac:dyDescent="0.2">
      <c r="D14" s="5" t="s">
        <v>21</v>
      </c>
      <c r="E14" s="6" t="s">
        <v>22</v>
      </c>
      <c r="F14" s="24" t="s">
        <v>23</v>
      </c>
      <c r="G14" s="24" t="s">
        <v>24</v>
      </c>
      <c r="H14" s="25" t="s">
        <v>25</v>
      </c>
      <c r="I14" s="6" t="s">
        <v>37</v>
      </c>
      <c r="J14" s="6" t="s">
        <v>38</v>
      </c>
      <c r="K14" s="7" t="s">
        <v>39</v>
      </c>
      <c r="L14" t="s">
        <v>0</v>
      </c>
      <c r="M14" t="s">
        <v>1</v>
      </c>
      <c r="N14" t="s">
        <v>2</v>
      </c>
      <c r="O14" t="s">
        <v>3</v>
      </c>
      <c r="Q14" s="86" t="s">
        <v>67</v>
      </c>
      <c r="R14" s="87"/>
      <c r="S14" s="87"/>
      <c r="T14" s="87"/>
      <c r="U14" s="87"/>
      <c r="V14" s="87"/>
      <c r="W14" s="87"/>
      <c r="X14" s="87"/>
      <c r="Y14" s="87"/>
      <c r="Z14" s="87"/>
    </row>
    <row r="15" spans="1:33" ht="17" customHeight="1" x14ac:dyDescent="0.15">
      <c r="C15" s="2" t="s">
        <v>4</v>
      </c>
      <c r="D15" s="15">
        <v>0</v>
      </c>
      <c r="E15" s="34" t="s">
        <v>75</v>
      </c>
      <c r="F15" s="35" t="s">
        <v>76</v>
      </c>
      <c r="G15" s="35" t="s">
        <v>77</v>
      </c>
      <c r="H15" s="35" t="s">
        <v>78</v>
      </c>
      <c r="I15" s="35"/>
      <c r="J15" s="35"/>
      <c r="K15" s="36"/>
      <c r="L15" s="3">
        <f>Start_date+Start_time</f>
        <v>45521.333333333336</v>
      </c>
      <c r="M15" s="3">
        <f>L15+"1:00"</f>
        <v>45521.375</v>
      </c>
      <c r="N15" s="4">
        <f>IF(ISBLANK(Distance),"",Open Control_1)</f>
        <v>45521.333333333336</v>
      </c>
      <c r="O15" s="4">
        <f>IF(ISBLANK(Distance),"",Close Control_1)</f>
        <v>45521.375</v>
      </c>
      <c r="Q15" s="86" t="s">
        <v>72</v>
      </c>
      <c r="R15" s="87"/>
      <c r="S15" s="87"/>
      <c r="T15" s="87"/>
      <c r="U15" s="87"/>
      <c r="V15" s="87"/>
      <c r="W15" s="87"/>
      <c r="X15" s="87"/>
      <c r="Y15" s="87"/>
      <c r="Z15" s="87"/>
    </row>
    <row r="16" spans="1:33" ht="17" customHeight="1" x14ac:dyDescent="0.15">
      <c r="B16" s="38"/>
      <c r="C16" s="2" t="s">
        <v>5</v>
      </c>
      <c r="D16" s="15">
        <v>22</v>
      </c>
      <c r="E16" s="34" t="s">
        <v>79</v>
      </c>
      <c r="F16" s="35" t="s">
        <v>80</v>
      </c>
      <c r="G16" s="35" t="s">
        <v>81</v>
      </c>
      <c r="H16" s="35" t="s">
        <v>82</v>
      </c>
      <c r="I16" s="35" t="s">
        <v>83</v>
      </c>
      <c r="J16" s="35" t="s">
        <v>84</v>
      </c>
      <c r="K16" s="36" t="s">
        <v>85</v>
      </c>
      <c r="L16">
        <f>IF(ISBLANK(Distance),"",IF(Distance&gt;1000,(Distance-1000)/26+33.0847,(IF(Distance&gt;600,(Distance-600)/28+18.799,(IF(Distance&gt;400,(Distance-400)/30+12.1324,(IF(Distance&gt;200,(Distance-200)/32+5.8824,Distance/34))))))))</f>
        <v>0.6470588235294118</v>
      </c>
      <c r="M16">
        <f>IF(ISBLANK(Distance),"",IF(Distance&gt;=brevet,D16200IF(brevet&gt;1200,(brevet-1200)*75/1000+90,Max_time),IF(Distance&gt;1200,(Distance-1200)*75/1000+90,IF(Distance&gt;1000,(Distance-1000)/(1000/75)+75,IF(Distance&gt;600,(Distance-600)/(400/35)+40,IF(Distance&lt;=60,(Distance/20+1),Distance/15))))))</f>
        <v>2.1</v>
      </c>
      <c r="N16" s="4">
        <f>IF(ISBLANK(Distance),"",Open_time Control_1+(INT(Open)&amp;":"&amp;IF(ROUND(((Open-INT(Open))*60),0)&lt;10,0,"")&amp;ROUND(((Open-INT(Open))*60),0)))</f>
        <v>45521.36041666667</v>
      </c>
      <c r="O16" s="4">
        <f>IF(ISBLANK(Distance),"",Open_time Control_1+(INT(Close)&amp;":"&amp;IF(ROUND(((Close-INT(Close))*60),0)&lt;10,0,"")&amp;ROUND(((Close-INT(Close))*60),0)))</f>
        <v>45521.420833333337</v>
      </c>
      <c r="Q16" s="86" t="s">
        <v>68</v>
      </c>
      <c r="R16" s="87"/>
      <c r="S16" s="87"/>
      <c r="T16" s="87"/>
      <c r="U16" s="87"/>
      <c r="V16" s="87"/>
      <c r="W16" s="87"/>
      <c r="X16" s="87"/>
      <c r="Y16" s="87"/>
      <c r="Z16" s="87"/>
    </row>
    <row r="17" spans="2:26" ht="17" customHeight="1" x14ac:dyDescent="0.15">
      <c r="B17" s="38"/>
      <c r="C17" s="2" t="s">
        <v>6</v>
      </c>
      <c r="D17" s="15">
        <v>44.5</v>
      </c>
      <c r="E17" s="34" t="s">
        <v>86</v>
      </c>
      <c r="F17" s="35" t="s">
        <v>80</v>
      </c>
      <c r="G17" s="35" t="s">
        <v>87</v>
      </c>
      <c r="H17" s="35" t="s">
        <v>88</v>
      </c>
      <c r="I17" s="35" t="s">
        <v>89</v>
      </c>
      <c r="J17" s="35"/>
      <c r="K17" s="36" t="s">
        <v>90</v>
      </c>
      <c r="L17">
        <f>IF(ISBLANK(Distance),"",IF(Distance&gt;1000,(Distance-1000)/26+33.0847,(IF(Distance&gt;600,(Distance-600)/28+18.799,(IF(Distance&gt;400,(Distance-400)/30+12.1324,(IF(Distance&gt;200,(Distance-200)/32+5.8824,Distance/34))))))))</f>
        <v>1.3088235294117647</v>
      </c>
      <c r="M17">
        <f t="shared" ref="M17:M24" si="0">IF(ISBLANK(Distance),"",IF(Distance&gt;=brevet,IF(brevet&gt;1200,(brevet-1200)*75/1000+90,Max_time),IF(Distance&gt;1200,(Distance-1200)*75/1000+90,IF(Distance&gt;1000,(Distance-1000)/(1000/75)+75,IF(Distance&gt;600,(Distance-600)/(400/35)+40,IF(Distance&lt;=60,(Distance/20+1),Distance/15))))))</f>
        <v>3.2250000000000001</v>
      </c>
      <c r="N17" s="4">
        <f>IF(ISBLANK(Distance),"",Open_time Control_1+(INT(Open)&amp;":"&amp;IF(ROUND(((Open-INT(Open))*60),0)&lt;10,0,"")&amp;ROUND(((Open-INT(Open))*60),0)))</f>
        <v>45521.388194444444</v>
      </c>
      <c r="O17" s="4">
        <f>IF(ISBLANK(Distance),"",Open_time Control_1+(INT(Close)&amp;":"&amp;IF(ROUND(((Close-INT(Close))*60),0)&lt;10,0,"")&amp;ROUND(((Close-INT(Close))*60),0)))</f>
        <v>45521.468055555561</v>
      </c>
      <c r="Q17" s="86" t="s">
        <v>46</v>
      </c>
      <c r="R17" s="87"/>
      <c r="S17" s="87"/>
      <c r="T17" s="87"/>
      <c r="U17" s="87"/>
      <c r="V17" s="87"/>
      <c r="W17" s="87"/>
      <c r="X17" s="87"/>
      <c r="Y17" s="87"/>
      <c r="Z17" s="87"/>
    </row>
    <row r="18" spans="2:26" ht="17" customHeight="1" x14ac:dyDescent="0.15">
      <c r="B18" s="38"/>
      <c r="C18" s="2" t="s">
        <v>7</v>
      </c>
      <c r="D18" s="15">
        <v>104</v>
      </c>
      <c r="E18" s="34" t="s">
        <v>91</v>
      </c>
      <c r="F18" s="35" t="s">
        <v>92</v>
      </c>
      <c r="G18" s="35" t="s">
        <v>93</v>
      </c>
      <c r="H18" s="35" t="s">
        <v>94</v>
      </c>
      <c r="I18" s="35"/>
      <c r="J18" s="35"/>
      <c r="K18" s="36"/>
      <c r="L18">
        <f t="shared" ref="L18:L24" si="1">IF(ISBLANK(Distance),"",IF(Distance&gt;1000,(Distance-1000)/26+33.0847,(IF(Distance&gt;600,(Distance-600)/28+18.799,(IF(Distance&gt;400,(Distance-400)/30+12.1324,(IF(Distance&gt;200,(Distance-200)/32+5.8824,Distance/34))))))))</f>
        <v>3.0588235294117645</v>
      </c>
      <c r="M18">
        <f t="shared" si="0"/>
        <v>6.9333333333333336</v>
      </c>
      <c r="N18" s="4">
        <f>IF(ISBLANK(Distance),"",Open_time Control_1+(INT(Open)&amp;":"&amp;IF(ROUND(((Open-INT(Open))*60),0)&lt;10,0,"")&amp;ROUND(((Open-INT(Open))*60),0)))</f>
        <v>45521.461111111115</v>
      </c>
      <c r="O18" s="4">
        <f>IF(ISBLANK(Distance),"",Open_time Control_1+(INT(Close)&amp;":"&amp;IF(ROUND(((Close-INT(Close))*60),0)&lt;10,0,"")&amp;ROUND(((Close-INT(Close))*60),0)))</f>
        <v>45521.622222222228</v>
      </c>
    </row>
    <row r="19" spans="2:26" ht="17" customHeight="1" x14ac:dyDescent="0.15">
      <c r="B19" s="38"/>
      <c r="C19" s="2" t="s">
        <v>8</v>
      </c>
      <c r="D19" s="15">
        <v>119.4</v>
      </c>
      <c r="E19" s="34" t="s">
        <v>95</v>
      </c>
      <c r="F19" s="35" t="s">
        <v>80</v>
      </c>
      <c r="G19" s="35" t="s">
        <v>96</v>
      </c>
      <c r="H19" s="35" t="s">
        <v>97</v>
      </c>
      <c r="I19" s="35" t="s">
        <v>98</v>
      </c>
      <c r="J19" s="141" t="s">
        <v>99</v>
      </c>
      <c r="K19" s="36" t="s">
        <v>100</v>
      </c>
      <c r="L19">
        <f t="shared" si="1"/>
        <v>3.5117647058823529</v>
      </c>
      <c r="M19">
        <f t="shared" si="0"/>
        <v>7.96</v>
      </c>
      <c r="N19" s="4">
        <f>IF(ISBLANK(Distance),"",Open_time Control_1+(INT(Open)&amp;":"&amp;IF(ROUND(((Open-INT(Open))*60),0)&lt;10,0,"")&amp;ROUND(((Open-INT(Open))*60),0)))</f>
        <v>45521.479861111111</v>
      </c>
      <c r="O19" s="4">
        <f>IF(ISBLANK(Distance),"",Open_time Control_1+(INT(Close)&amp;":"&amp;IF(ROUND(((Close-INT(Close))*60),0)&lt;10,0,"")&amp;ROUND(((Close-INT(Close))*60),0)))</f>
        <v>45521.665277777778</v>
      </c>
      <c r="Q19" s="40"/>
    </row>
    <row r="20" spans="2:26" ht="17" customHeight="1" x14ac:dyDescent="0.15">
      <c r="B20" s="38"/>
      <c r="C20" s="2" t="s">
        <v>9</v>
      </c>
      <c r="D20" s="15">
        <v>171</v>
      </c>
      <c r="E20" s="34" t="s">
        <v>101</v>
      </c>
      <c r="F20" s="35" t="s">
        <v>92</v>
      </c>
      <c r="G20" s="35" t="s">
        <v>102</v>
      </c>
      <c r="H20" s="35" t="s">
        <v>103</v>
      </c>
      <c r="I20" s="35"/>
      <c r="J20" s="35"/>
      <c r="K20" s="36"/>
      <c r="L20">
        <f t="shared" si="1"/>
        <v>5.0294117647058822</v>
      </c>
      <c r="M20">
        <f t="shared" si="0"/>
        <v>11.4</v>
      </c>
      <c r="N20" s="4">
        <f>IF(ISBLANK(Distance),"",Open_time Control_1+(INT(Open)&amp;":"&amp;IF(ROUND(((Open-INT(Open))*60),0)&lt;10,0,"")&amp;ROUND(((Open-INT(Open))*60),0)))</f>
        <v>45521.543055555558</v>
      </c>
      <c r="O20" s="4">
        <f>IF(ISBLANK(Distance),"",Open_time Control_1+(INT(Close)&amp;":"&amp;IF(ROUND(((Close-INT(Close))*60),0)&lt;10,0,"")&amp;ROUND(((Close-INT(Close))*60),0)))</f>
        <v>45521.808333333334</v>
      </c>
    </row>
    <row r="21" spans="2:26" ht="17" customHeight="1" x14ac:dyDescent="0.15">
      <c r="B21" s="38"/>
      <c r="C21" s="2" t="s">
        <v>10</v>
      </c>
      <c r="D21" s="15">
        <v>202.1</v>
      </c>
      <c r="E21" s="34" t="s">
        <v>75</v>
      </c>
      <c r="F21" s="35" t="s">
        <v>92</v>
      </c>
      <c r="G21" s="35" t="s">
        <v>104</v>
      </c>
      <c r="H21" s="35" t="s">
        <v>105</v>
      </c>
      <c r="I21" s="35"/>
      <c r="J21" s="35"/>
      <c r="K21" s="36"/>
      <c r="L21">
        <f t="shared" si="1"/>
        <v>5.9480249999999995</v>
      </c>
      <c r="M21">
        <f t="shared" si="0"/>
        <v>13.5</v>
      </c>
      <c r="N21" s="4">
        <f>IF(ISBLANK(Distance),"",Open_time Control_1+(INT(Open)&amp;":"&amp;IF(ROUND(((Open-INT(Open))*60),0)&lt;10,0,"")&amp;ROUND(((Open-INT(Open))*60),0)))</f>
        <v>45521.581250000003</v>
      </c>
      <c r="O21" s="4">
        <f>IF(ISBLANK(Distance),"",Open_time Control_1+(INT(Close)&amp;":"&amp;IF(ROUND(((Close-INT(Close))*60),0)&lt;10,0,"")&amp;ROUND(((Close-INT(Close))*60),0)))</f>
        <v>45521.895833333336</v>
      </c>
    </row>
    <row r="22" spans="2:26" ht="17" customHeight="1" x14ac:dyDescent="0.15">
      <c r="B22" s="38"/>
      <c r="C22" s="2" t="s">
        <v>11</v>
      </c>
      <c r="D22" s="15"/>
      <c r="E22" s="34"/>
      <c r="F22" s="35"/>
      <c r="G22" s="35"/>
      <c r="H22" s="36"/>
      <c r="I22" s="36"/>
      <c r="J22" s="35"/>
      <c r="K22" s="36"/>
      <c r="L22" t="str">
        <f t="shared" si="1"/>
        <v/>
      </c>
      <c r="M22" t="str">
        <f t="shared" si="0"/>
        <v/>
      </c>
      <c r="N22" s="4" t="str">
        <f>IF(ISBLANK(Distance),"",Open_time Control_1+(INT(Open)&amp;":"&amp;IF(ROUND(((Open-INT(Open))*60),0)&lt;10,0,"")&amp;ROUND(((Open-INT(Open))*60),0)))</f>
        <v/>
      </c>
      <c r="O22" s="4" t="str">
        <f>IF(ISBLANK(Distance),"",Open_time Control_1+(INT(Close)&amp;":"&amp;IF(ROUND(((Close-INT(Close))*60),0)&lt;10,0,"")&amp;ROUND(((Close-INT(Close))*60),0)))</f>
        <v/>
      </c>
    </row>
    <row r="23" spans="2:26" ht="17" customHeight="1" x14ac:dyDescent="0.15">
      <c r="B23" s="38"/>
      <c r="C23" s="2" t="s">
        <v>12</v>
      </c>
      <c r="D23" s="15"/>
      <c r="E23" s="34"/>
      <c r="F23" s="35"/>
      <c r="G23" s="35"/>
      <c r="H23" s="35"/>
      <c r="I23" s="35"/>
      <c r="J23" s="35"/>
      <c r="K23" s="36"/>
      <c r="L23" t="str">
        <f t="shared" si="1"/>
        <v/>
      </c>
      <c r="M23" t="str">
        <f t="shared" si="0"/>
        <v/>
      </c>
      <c r="N23" s="4" t="str">
        <f>IF(ISBLANK(Distance),"",Open_time Control_1+(INT(Open)&amp;":"&amp;IF(ROUND(((Open-INT(Open))*60),0)&lt;10,0,"")&amp;ROUND(((Open-INT(Open))*60),0)))</f>
        <v/>
      </c>
      <c r="O23" s="4" t="str">
        <f>IF(ISBLANK(Distance),"",Open_time Control_1+(INT(Close)&amp;":"&amp;IF(ROUND(((Close-INT(Close))*60),0)&lt;10,0,"")&amp;ROUND(((Close-INT(Close))*60),0)))</f>
        <v/>
      </c>
    </row>
    <row r="24" spans="2:26" ht="17" customHeight="1" thickBot="1" x14ac:dyDescent="0.2">
      <c r="B24" s="38"/>
      <c r="C24" s="2" t="s">
        <v>13</v>
      </c>
      <c r="D24" s="20"/>
      <c r="E24" s="37"/>
      <c r="F24" s="35"/>
      <c r="G24" s="35"/>
      <c r="H24" s="36"/>
      <c r="I24" s="35"/>
      <c r="J24" s="35"/>
      <c r="K24" s="36"/>
      <c r="L24" t="str">
        <f t="shared" si="1"/>
        <v/>
      </c>
      <c r="M24" t="str">
        <f t="shared" si="0"/>
        <v/>
      </c>
      <c r="N24" s="4" t="str">
        <f>IF(ISBLANK(Distance),"",Open_time Control_1+(INT(Open)&amp;":"&amp;IF(ROUND(((Open-INT(Open))*60),0)&lt;10,0,"")&amp;ROUND(((Open-INT(Open))*60),0)))</f>
        <v/>
      </c>
      <c r="O24" s="4" t="str">
        <f>IF(ISBLANK(Distance),"",Open_time Control_1+(INT(Close)&amp;":"&amp;IF(ROUND(((Close-INT(Close))*60),0)&lt;10,0,"")&amp;ROUND(((Close-INT(Close))*60),0)))</f>
        <v/>
      </c>
    </row>
    <row r="25" spans="2:26" ht="7" customHeight="1" thickBot="1" x14ac:dyDescent="0.25">
      <c r="D25" s="26"/>
      <c r="E25" s="27"/>
      <c r="F25" s="28"/>
      <c r="G25" s="28"/>
      <c r="H25" s="28"/>
      <c r="I25" s="28"/>
      <c r="J25" s="28"/>
      <c r="K25" s="29"/>
      <c r="N25" s="4"/>
      <c r="O25" s="4"/>
    </row>
    <row r="26" spans="2:26" ht="14" thickBot="1" x14ac:dyDescent="0.2">
      <c r="D26" s="103" t="s">
        <v>69</v>
      </c>
      <c r="E26" s="104"/>
      <c r="F26" s="104"/>
      <c r="G26" s="104"/>
      <c r="H26" s="104"/>
      <c r="I26" s="105" t="s">
        <v>70</v>
      </c>
      <c r="J26" s="104"/>
      <c r="K26" s="106"/>
    </row>
    <row r="27" spans="2:26" ht="14" thickBot="1" x14ac:dyDescent="0.2">
      <c r="D27" s="5" t="s">
        <v>21</v>
      </c>
      <c r="E27" s="6" t="s">
        <v>22</v>
      </c>
      <c r="F27" s="24" t="s">
        <v>23</v>
      </c>
      <c r="G27" s="24" t="s">
        <v>24</v>
      </c>
      <c r="H27" s="25" t="s">
        <v>25</v>
      </c>
      <c r="I27" s="6" t="s">
        <v>37</v>
      </c>
      <c r="J27" s="6" t="s">
        <v>38</v>
      </c>
      <c r="K27" s="7" t="s">
        <v>39</v>
      </c>
      <c r="L27" t="s">
        <v>0</v>
      </c>
      <c r="M27" t="s">
        <v>1</v>
      </c>
      <c r="N27" t="s">
        <v>2</v>
      </c>
      <c r="O27" t="s">
        <v>3</v>
      </c>
    </row>
    <row r="28" spans="2:26" ht="17" customHeight="1" x14ac:dyDescent="0.15">
      <c r="D28" s="15"/>
      <c r="E28" s="34"/>
      <c r="F28" s="35"/>
      <c r="G28" s="35"/>
      <c r="H28" s="36"/>
      <c r="I28" s="35"/>
      <c r="J28" s="35"/>
      <c r="K28" s="36"/>
      <c r="L28" t="str">
        <f>IF(ISBLANK(D28),"",IF(D28&gt;1000,(D28-1000)/26+33.0847,(IF(D28&gt;600,(D28-600)/28+18.799,(IF(D28&gt;400,(D28-400)/30+12.1324,(IF(D28&gt;200,(D28-200)/32+5.8824,D28/34))))))))</f>
        <v/>
      </c>
      <c r="M28" t="str">
        <f t="shared" ref="M28:M37" si="2">IF(ISBLANK(D28),"",IF((D28=0),1,IF(D28&gt;=brevet,IF(brevet&gt;1200,(brevet-1200)*75/1000+90,Max_time),IF(D28&gt;1200,(D28-1200)*75/1000+90,IF(D28&gt;1000,(D28-1000)/(1000/75)+75,IF(D28&gt;600,(D28-600)/(400/35)+40,IF(D28&lt;=60,D28/20+1,D28/15)))))))</f>
        <v/>
      </c>
      <c r="N28" s="4" t="str">
        <f>IF(ISBLANK(D28),"",Open_time Control_1+(INT(L28)&amp;":"&amp;IF(ROUND(((L28-INT(L28))*60),0)&lt;10,0,"")&amp;ROUND(((L28-INT(L28))*60),0)))</f>
        <v/>
      </c>
      <c r="O28" s="4" t="str">
        <f>IF(ISBLANK(D28),"",Open_time Control_1+(INT(M28)&amp;":"&amp;IF(ROUND(((M28-INT(M28))*60),0)&lt;10,0,"")&amp;ROUND(((M28-INT(M28))*60),0)))</f>
        <v/>
      </c>
    </row>
    <row r="29" spans="2:26" ht="17" customHeight="1" x14ac:dyDescent="0.15">
      <c r="D29" s="15"/>
      <c r="E29" s="34"/>
      <c r="F29" s="35"/>
      <c r="G29" s="35"/>
      <c r="H29" s="36"/>
      <c r="I29" s="35"/>
      <c r="J29" s="35"/>
      <c r="K29" s="36"/>
      <c r="L29" t="str">
        <f t="shared" ref="L29:L37" si="3">IF(ISBLANK(D29),"",IF(D29&gt;1000,(D29-1000)/26+33.0847,(IF(D29&gt;600,(D29-600)/28+18.799,(IF(D29&gt;400,(D29-400)/30+12.1324,(IF(D29&gt;200,(D29-200)/32+5.8824,D29/34))))))))</f>
        <v/>
      </c>
      <c r="M29" t="str">
        <f t="shared" si="2"/>
        <v/>
      </c>
      <c r="N29" s="4" t="str">
        <f>IF(ISBLANK(D29),"",Open_time Control_1+(INT(L29)&amp;":"&amp;IF(ROUND(((L29-INT(L29))*60),0)&lt;10,0,"")&amp;ROUND(((L29-INT(L29))*60),0)))</f>
        <v/>
      </c>
      <c r="O29" s="4" t="str">
        <f>IF(ISBLANK(D29),"",Open_time Control_1+(INT(M29)&amp;":"&amp;IF(ROUND(((M29-INT(M29))*60),0)&lt;10,0,"")&amp;ROUND(((M29-INT(M29))*60),0)))</f>
        <v/>
      </c>
    </row>
    <row r="30" spans="2:26" ht="17" customHeight="1" x14ac:dyDescent="0.15">
      <c r="D30" s="15"/>
      <c r="E30" s="34"/>
      <c r="F30" s="35"/>
      <c r="G30" s="35"/>
      <c r="H30" s="36"/>
      <c r="I30" s="35"/>
      <c r="J30" s="35"/>
      <c r="K30" s="36"/>
      <c r="L30" t="str">
        <f t="shared" si="3"/>
        <v/>
      </c>
      <c r="M30" t="str">
        <f t="shared" si="2"/>
        <v/>
      </c>
      <c r="N30" s="4" t="str">
        <f>IF(ISBLANK(D30),"",Open_time Control_1+(INT(L30)&amp;":"&amp;IF(ROUND(((L30-INT(L30))*60),0)&lt;10,0,"")&amp;ROUND(((L30-INT(L30))*60),0)))</f>
        <v/>
      </c>
      <c r="O30" s="4" t="str">
        <f>IF(ISBLANK(D30),"",Open_time Control_1+(INT(M30)&amp;":"&amp;IF(ROUND(((M30-INT(M30))*60),0)&lt;10,0,"")&amp;ROUND(((M30-INT(M30))*60),0)))</f>
        <v/>
      </c>
    </row>
    <row r="31" spans="2:26" ht="17" customHeight="1" x14ac:dyDescent="0.15">
      <c r="D31" s="15"/>
      <c r="E31" s="34"/>
      <c r="F31" s="35"/>
      <c r="G31" s="35"/>
      <c r="H31" s="36"/>
      <c r="I31" s="35"/>
      <c r="J31" s="35"/>
      <c r="K31" s="36"/>
      <c r="L31" t="str">
        <f t="shared" si="3"/>
        <v/>
      </c>
      <c r="M31" t="str">
        <f t="shared" si="2"/>
        <v/>
      </c>
      <c r="N31" s="4" t="str">
        <f>IF(ISBLANK(D31),"",Open_time Control_1+(INT(L31)&amp;":"&amp;IF(ROUND(((L31-INT(L31))*60),0)&lt;10,0,"")&amp;ROUND(((L31-INT(L31))*60),0)))</f>
        <v/>
      </c>
      <c r="O31" s="4" t="str">
        <f>IF(ISBLANK(D31),"",Open_time Control_1+(INT(M31)&amp;":"&amp;IF(ROUND(((M31-INT(M31))*60),0)&lt;10,0,"")&amp;ROUND(((M31-INT(M31))*60),0)))</f>
        <v/>
      </c>
    </row>
    <row r="32" spans="2:26" ht="17" customHeight="1" x14ac:dyDescent="0.15">
      <c r="D32" s="15"/>
      <c r="E32" s="34"/>
      <c r="F32" s="35"/>
      <c r="G32" s="35"/>
      <c r="H32" s="36"/>
      <c r="I32" s="35"/>
      <c r="J32" s="35"/>
      <c r="K32" s="36"/>
      <c r="L32" t="str">
        <f t="shared" si="3"/>
        <v/>
      </c>
      <c r="M32" t="str">
        <f t="shared" si="2"/>
        <v/>
      </c>
      <c r="N32" s="4" t="str">
        <f>IF(ISBLANK(D32),"",Open_time Control_1+(INT(L32)&amp;":"&amp;IF(ROUND(((L32-INT(L32))*60),0)&lt;10,0,"")&amp;ROUND(((L32-INT(L32))*60),0)))</f>
        <v/>
      </c>
      <c r="O32" s="4" t="str">
        <f>IF(ISBLANK(D32),"",Open_time Control_1+(INT(M32)&amp;":"&amp;IF(ROUND(((M32-INT(M32))*60),0)&lt;10,0,"")&amp;ROUND(((M32-INT(M32))*60),0)))</f>
        <v/>
      </c>
    </row>
    <row r="33" spans="4:15" ht="17" customHeight="1" x14ac:dyDescent="0.15">
      <c r="D33" s="15"/>
      <c r="E33" s="34"/>
      <c r="F33" s="35"/>
      <c r="G33" s="35"/>
      <c r="H33" s="36"/>
      <c r="I33" s="35"/>
      <c r="J33" s="35"/>
      <c r="K33" s="36"/>
      <c r="L33" t="str">
        <f t="shared" si="3"/>
        <v/>
      </c>
      <c r="M33" t="str">
        <f t="shared" si="2"/>
        <v/>
      </c>
      <c r="N33" s="4" t="str">
        <f>IF(ISBLANK(D33),"",Open_time Control_1+(INT(L33)&amp;":"&amp;IF(ROUND(((L33-INT(L33))*60),0)&lt;10,0,"")&amp;ROUND(((L33-INT(L33))*60),0)))</f>
        <v/>
      </c>
      <c r="O33" s="4" t="str">
        <f>IF(ISBLANK(D33),"",Open_time Control_1+(INT(M33)&amp;":"&amp;IF(ROUND(((M33-INT(M33))*60),0)&lt;10,0,"")&amp;ROUND(((M33-INT(M33))*60),0)))</f>
        <v/>
      </c>
    </row>
    <row r="34" spans="4:15" ht="17" customHeight="1" x14ac:dyDescent="0.15">
      <c r="D34" s="15"/>
      <c r="E34" s="34"/>
      <c r="F34" s="35"/>
      <c r="G34" s="35"/>
      <c r="H34" s="36"/>
      <c r="I34" s="35"/>
      <c r="J34" s="35"/>
      <c r="K34" s="36"/>
      <c r="L34" t="str">
        <f t="shared" si="3"/>
        <v/>
      </c>
      <c r="M34" t="str">
        <f t="shared" si="2"/>
        <v/>
      </c>
      <c r="N34" s="4" t="str">
        <f>IF(ISBLANK(D34),"",Open_time Control_1+(INT(L34)&amp;":"&amp;IF(ROUND(((L34-INT(L34))*60),0)&lt;10,0,"")&amp;ROUND(((L34-INT(L34))*60),0)))</f>
        <v/>
      </c>
      <c r="O34" s="4" t="str">
        <f>IF(ISBLANK(D34),"",Open_time Control_1+(INT(M34)&amp;":"&amp;IF(ROUND(((M34-INT(M34))*60),0)&lt;10,0,"")&amp;ROUND(((M34-INT(M34))*60),0)))</f>
        <v/>
      </c>
    </row>
    <row r="35" spans="4:15" ht="17" customHeight="1" x14ac:dyDescent="0.15">
      <c r="D35" s="15"/>
      <c r="E35" s="34"/>
      <c r="F35" s="35"/>
      <c r="G35" s="35"/>
      <c r="H35" s="36"/>
      <c r="I35" s="35"/>
      <c r="J35" s="35"/>
      <c r="K35" s="36"/>
      <c r="L35" t="str">
        <f t="shared" si="3"/>
        <v/>
      </c>
      <c r="M35" t="str">
        <f t="shared" si="2"/>
        <v/>
      </c>
      <c r="N35" s="4" t="str">
        <f>IF(ISBLANK(D35),"",Open_time Control_1+(INT(L35)&amp;":"&amp;IF(ROUND(((L35-INT(L35))*60),0)&lt;10,0,"")&amp;ROUND(((L35-INT(L35))*60),0)))</f>
        <v/>
      </c>
      <c r="O35" s="4" t="str">
        <f>IF(ISBLANK(D35),"",Open_time Control_1+(INT(M35)&amp;":"&amp;IF(ROUND(((M35-INT(M35))*60),0)&lt;10,0,"")&amp;ROUND(((M35-INT(M35))*60),0)))</f>
        <v/>
      </c>
    </row>
    <row r="36" spans="4:15" ht="17" customHeight="1" x14ac:dyDescent="0.15">
      <c r="D36" s="15"/>
      <c r="E36" s="34"/>
      <c r="F36" s="35"/>
      <c r="G36" s="35"/>
      <c r="H36" s="36"/>
      <c r="I36" s="35"/>
      <c r="J36" s="35"/>
      <c r="K36" s="36"/>
      <c r="L36" t="str">
        <f t="shared" si="3"/>
        <v/>
      </c>
      <c r="M36" t="str">
        <f t="shared" si="2"/>
        <v/>
      </c>
      <c r="N36" s="4" t="str">
        <f>IF(ISBLANK(D36),"",Open_time Control_1+(INT(L36)&amp;":"&amp;IF(ROUND(((L36-INT(L36))*60),0)&lt;10,0,"")&amp;ROUND(((L36-INT(L36))*60),0)))</f>
        <v/>
      </c>
      <c r="O36" s="4" t="str">
        <f>IF(ISBLANK(D36),"",Open_time Control_1+(INT(M36)&amp;":"&amp;IF(ROUND(((M36-INT(M36))*60),0)&lt;10,0,"")&amp;ROUND(((M36-INT(M36))*60),0)))</f>
        <v/>
      </c>
    </row>
    <row r="37" spans="4:15" ht="17" customHeight="1" thickBot="1" x14ac:dyDescent="0.2">
      <c r="D37" s="20"/>
      <c r="E37" s="34"/>
      <c r="F37" s="35"/>
      <c r="G37" s="35"/>
      <c r="H37" s="36"/>
      <c r="I37" s="35"/>
      <c r="J37" s="35"/>
      <c r="K37" s="36"/>
      <c r="L37" t="str">
        <f t="shared" si="3"/>
        <v/>
      </c>
      <c r="M37" t="str">
        <f t="shared" si="2"/>
        <v/>
      </c>
      <c r="N37" s="4" t="str">
        <f>IF(ISBLANK(D37),"",Open_time Control_1+(INT(L37)&amp;":"&amp;IF(ROUND(((L37-INT(L37))*60),0)&lt;10,0,"")&amp;ROUND(((L37-INT(L37))*60),0)))</f>
        <v/>
      </c>
      <c r="O37" s="4" t="str">
        <f>IF(ISBLANK(D37),"",Open_time Control_1+(INT(M37)&amp;":"&amp;IF(ROUND(((M37-INT(M37))*60),0)&lt;10,0,"")&amp;ROUND(((M37-INT(M37))*60),0)))</f>
        <v/>
      </c>
    </row>
  </sheetData>
  <sheetProtection algorithmName="SHA-512" hashValue="D8qywzNb40cUiVle2DcjUmxCsRIaO5HEQS3AFyML+XvcGNrr85HZL3oGkY7bVUKDPJKALNXAjH4Ou+WV1jzmcg==" saltValue="7U8Wfb5GFDUrDvVAN8JerA==" spinCount="100000" sheet="1" objects="1" scenarios="1" formatCells="0" selectLockedCells="1"/>
  <mergeCells count="8">
    <mergeCell ref="D26:H26"/>
    <mergeCell ref="I26:K26"/>
    <mergeCell ref="A1:G1"/>
    <mergeCell ref="B8:F8"/>
    <mergeCell ref="Q1:AF4"/>
    <mergeCell ref="J6:K6"/>
    <mergeCell ref="D13:H13"/>
    <mergeCell ref="I13:K13"/>
  </mergeCells>
  <phoneticPr fontId="13"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14ED8-B2B3-3C4A-953E-40C153A6C07C}">
  <sheetPr>
    <pageSetUpPr fitToPage="1"/>
  </sheetPr>
  <dimension ref="B1:O57"/>
  <sheetViews>
    <sheetView zoomScale="115" zoomScaleNormal="115" zoomScalePageLayoutView="75" workbookViewId="0">
      <selection activeCell="D11" sqref="D11"/>
    </sheetView>
  </sheetViews>
  <sheetFormatPr baseColWidth="10" defaultColWidth="8.83203125" defaultRowHeight="13" x14ac:dyDescent="0.15"/>
  <cols>
    <col min="1" max="1" width="1.83203125" customWidth="1"/>
    <col min="2" max="2" width="12.83203125" customWidth="1"/>
    <col min="3" max="4" width="15.83203125" customWidth="1"/>
    <col min="5" max="5" width="25.83203125" customWidth="1"/>
    <col min="6" max="6" width="40.83203125" customWidth="1"/>
    <col min="7" max="7" width="12.83203125" customWidth="1"/>
    <col min="8" max="8" width="25.83203125" customWidth="1"/>
    <col min="9" max="9" width="30.83203125" customWidth="1"/>
    <col min="10" max="10" width="25.83203125" customWidth="1"/>
    <col min="11" max="11" width="1.83203125" customWidth="1"/>
    <col min="12" max="12" width="8.83203125" customWidth="1"/>
  </cols>
  <sheetData>
    <row r="1" spans="2:15" x14ac:dyDescent="0.15">
      <c r="K1" s="75"/>
      <c r="L1" s="75"/>
      <c r="M1" s="75"/>
    </row>
    <row r="2" spans="2:15" ht="18" x14ac:dyDescent="0.2">
      <c r="C2" s="130" t="s">
        <v>33</v>
      </c>
      <c r="D2" s="130"/>
      <c r="E2" s="130"/>
      <c r="F2" s="130"/>
      <c r="G2" s="55"/>
      <c r="H2" s="55"/>
      <c r="I2" s="78" t="s">
        <v>58</v>
      </c>
      <c r="J2" s="79">
        <f>'Control Entry'!B4</f>
        <v>45516</v>
      </c>
      <c r="K2" s="55"/>
      <c r="L2" s="55"/>
    </row>
    <row r="3" spans="2:15" ht="45" customHeight="1" x14ac:dyDescent="0.45">
      <c r="D3" s="12"/>
      <c r="E3" s="139" t="s">
        <v>29</v>
      </c>
      <c r="F3" s="139"/>
      <c r="G3" s="139"/>
      <c r="H3" s="139"/>
      <c r="I3" s="66" t="s">
        <v>60</v>
      </c>
      <c r="J3" s="71">
        <f>IF(ISBLANK(Brevet_Number),"",Brevet_Number)</f>
        <v>5412</v>
      </c>
      <c r="K3" s="39"/>
      <c r="L3" s="39"/>
    </row>
    <row r="4" spans="2:15" ht="20" customHeight="1" x14ac:dyDescent="0.15">
      <c r="C4" s="12"/>
      <c r="E4" s="140" t="str">
        <f>IF(ISBLANK(Brevet_Length),"",Brevet_Length&amp;" km Randonnée")</f>
        <v>200 km Randonnée</v>
      </c>
      <c r="F4" s="140"/>
      <c r="G4" s="140"/>
      <c r="H4" s="140"/>
      <c r="K4" s="51"/>
      <c r="L4" s="51"/>
    </row>
    <row r="5" spans="2:15" ht="20" customHeight="1" x14ac:dyDescent="0.2">
      <c r="D5" s="52"/>
      <c r="E5" s="138" t="str">
        <f>IF(ISBLANK(Brevet_Description),"",Brevet_Description)</f>
        <v>Coombs Cumberland Explorer</v>
      </c>
      <c r="F5" s="138"/>
      <c r="G5" s="138"/>
      <c r="H5" s="138"/>
      <c r="I5" s="74"/>
      <c r="J5" s="52"/>
      <c r="K5" s="52"/>
      <c r="L5" s="52"/>
    </row>
    <row r="6" spans="2:15" ht="20" x14ac:dyDescent="0.2">
      <c r="D6" s="67"/>
      <c r="E6" s="138"/>
      <c r="F6" s="138"/>
      <c r="G6" s="138"/>
      <c r="H6" s="138"/>
      <c r="I6" s="74"/>
      <c r="J6" s="67"/>
      <c r="K6" s="52"/>
      <c r="L6" s="52"/>
    </row>
    <row r="7" spans="2:15" ht="25" customHeight="1" x14ac:dyDescent="0.15">
      <c r="C7" s="134"/>
      <c r="D7" s="134"/>
      <c r="E7" s="134"/>
      <c r="F7" s="134"/>
      <c r="H7" s="136"/>
    </row>
    <row r="8" spans="2:15" ht="21" thickBot="1" x14ac:dyDescent="0.25">
      <c r="B8" s="17" t="s">
        <v>61</v>
      </c>
      <c r="C8" s="135"/>
      <c r="D8" s="135"/>
      <c r="E8" s="135"/>
      <c r="F8" s="135"/>
      <c r="G8" s="17" t="s">
        <v>31</v>
      </c>
      <c r="H8" s="137"/>
      <c r="I8" s="53"/>
      <c r="J8" s="53"/>
      <c r="K8" s="53"/>
    </row>
    <row r="9" spans="2:15" ht="22" customHeight="1" x14ac:dyDescent="0.15">
      <c r="B9" s="58"/>
      <c r="C9" s="58"/>
      <c r="D9" s="58"/>
      <c r="E9" s="58"/>
      <c r="F9" s="54"/>
      <c r="G9" s="60"/>
      <c r="H9" s="60"/>
      <c r="I9" s="60"/>
      <c r="J9" s="54"/>
    </row>
    <row r="10" spans="2:15" ht="20" customHeight="1" x14ac:dyDescent="0.15">
      <c r="B10" s="132" t="s">
        <v>34</v>
      </c>
      <c r="C10" s="132"/>
      <c r="D10" s="64" t="s">
        <v>35</v>
      </c>
      <c r="E10" s="133" t="s">
        <v>57</v>
      </c>
      <c r="F10" s="133"/>
      <c r="G10" s="133"/>
      <c r="H10" s="70"/>
      <c r="I10" s="59"/>
      <c r="J10" s="59"/>
      <c r="K10" s="19"/>
      <c r="L10" s="111"/>
      <c r="M10" s="111"/>
      <c r="N10" s="111"/>
      <c r="O10" s="111"/>
    </row>
    <row r="11" spans="2:15" ht="23" x14ac:dyDescent="0.15">
      <c r="B11" s="58"/>
      <c r="C11" s="58" t="s">
        <v>73</v>
      </c>
      <c r="D11" s="58"/>
      <c r="E11" s="58"/>
      <c r="F11" s="54"/>
      <c r="G11" s="60"/>
      <c r="H11" s="60"/>
      <c r="I11" s="60"/>
      <c r="J11" s="54"/>
    </row>
    <row r="12" spans="2:15" ht="22" thickBot="1" x14ac:dyDescent="0.25">
      <c r="D12" s="127" t="s">
        <v>19</v>
      </c>
      <c r="E12" s="127"/>
      <c r="F12" s="69">
        <f>IF(ISBLANK('Control Entry'!B12),"",'Control Entry'!B12)</f>
        <v>45521</v>
      </c>
      <c r="G12" s="73"/>
      <c r="H12" s="17" t="s">
        <v>63</v>
      </c>
      <c r="I12" s="68">
        <f>IF(ISBLANK('Control Entry'!B13),"",'Control Entry'!B13)</f>
        <v>0.33333333333333331</v>
      </c>
      <c r="J12" s="23"/>
    </row>
    <row r="13" spans="2:15" ht="20" x14ac:dyDescent="0.2">
      <c r="D13" s="22"/>
      <c r="E13" s="22"/>
      <c r="F13" s="21"/>
      <c r="G13" s="21"/>
      <c r="H13" s="21"/>
      <c r="L13" s="23"/>
      <c r="M13" s="23"/>
      <c r="N13" s="23"/>
    </row>
    <row r="14" spans="2:15" ht="21" thickBot="1" x14ac:dyDescent="0.25">
      <c r="D14" s="127" t="s">
        <v>62</v>
      </c>
      <c r="E14" s="127"/>
      <c r="F14" s="69"/>
      <c r="G14" s="73"/>
      <c r="H14" s="17" t="s">
        <v>64</v>
      </c>
      <c r="I14" s="68"/>
      <c r="J14" s="23"/>
      <c r="L14" s="45"/>
      <c r="M14" s="45"/>
      <c r="N14" s="45"/>
    </row>
    <row r="15" spans="2:15" ht="20" x14ac:dyDescent="0.2">
      <c r="B15" s="22"/>
      <c r="C15" s="22"/>
      <c r="D15" s="21"/>
      <c r="E15" s="21"/>
      <c r="H15" s="21"/>
    </row>
    <row r="16" spans="2:15" ht="21" thickBot="1" x14ac:dyDescent="0.25">
      <c r="C16" s="65"/>
      <c r="D16" s="65"/>
      <c r="E16" s="65"/>
      <c r="F16" s="65"/>
      <c r="H16" s="17" t="s">
        <v>65</v>
      </c>
      <c r="I16" s="68"/>
      <c r="J16" s="23"/>
      <c r="L16" s="45"/>
      <c r="M16" s="45"/>
      <c r="N16" s="45"/>
    </row>
    <row r="17" spans="2:15" ht="20" x14ac:dyDescent="0.15">
      <c r="C17" s="128" t="s">
        <v>14</v>
      </c>
      <c r="D17" s="128"/>
      <c r="E17" s="128"/>
      <c r="F17" s="128"/>
      <c r="G17" s="19"/>
      <c r="H17" s="19"/>
      <c r="I17" s="129"/>
      <c r="J17" s="129"/>
      <c r="K17" s="19"/>
      <c r="L17" s="111"/>
      <c r="M17" s="111"/>
      <c r="N17" s="111"/>
      <c r="O17" s="111"/>
    </row>
    <row r="18" spans="2:15" ht="6" customHeight="1" thickBot="1" x14ac:dyDescent="0.2">
      <c r="B18" s="61"/>
      <c r="C18" s="61"/>
      <c r="D18" s="61"/>
      <c r="E18" s="61"/>
      <c r="F18" s="62"/>
      <c r="G18" s="63"/>
      <c r="H18" s="63"/>
      <c r="I18" s="63"/>
      <c r="J18" s="62"/>
    </row>
    <row r="19" spans="2:15" ht="22" thickTop="1" thickBot="1" x14ac:dyDescent="0.2">
      <c r="B19" s="131" t="s">
        <v>50</v>
      </c>
      <c r="C19" s="131"/>
      <c r="D19" s="131"/>
      <c r="E19" s="131"/>
      <c r="F19" s="131"/>
      <c r="G19" s="131"/>
      <c r="H19" s="131"/>
      <c r="I19" s="131"/>
      <c r="J19" s="131"/>
    </row>
    <row r="20" spans="2:15" ht="20" thickBot="1" x14ac:dyDescent="0.25">
      <c r="B20" s="50" t="s">
        <v>26</v>
      </c>
      <c r="C20" s="8" t="s">
        <v>0</v>
      </c>
      <c r="D20" s="8" t="s">
        <v>1</v>
      </c>
      <c r="E20" s="8" t="s">
        <v>22</v>
      </c>
      <c r="F20" s="8" t="s">
        <v>27</v>
      </c>
      <c r="G20" s="124" t="s">
        <v>36</v>
      </c>
      <c r="H20" s="125"/>
      <c r="I20" s="126"/>
      <c r="J20" s="50" t="s">
        <v>28</v>
      </c>
    </row>
    <row r="21" spans="2:15" ht="40" customHeight="1" x14ac:dyDescent="0.25">
      <c r="B21" s="89"/>
      <c r="C21" s="101">
        <f>Control_1 Open_time</f>
        <v>45521.333333333336</v>
      </c>
      <c r="D21" s="101">
        <f>Control_1 Close_time</f>
        <v>45521.375</v>
      </c>
      <c r="E21" s="90"/>
      <c r="F21" s="91" t="str">
        <f>IF(ISBLANK(Control_1 Establishment_1),"",Control_1 Establishment_1)</f>
        <v>STAFFED</v>
      </c>
      <c r="G21" s="114" t="str">
        <f>IF(ISBLANK('Control Entry'!I15),"",'Control Entry'!I15)</f>
        <v/>
      </c>
      <c r="H21" s="115"/>
      <c r="I21" s="116"/>
      <c r="J21" s="92"/>
    </row>
    <row r="22" spans="2:15" ht="40" customHeight="1" x14ac:dyDescent="0.25">
      <c r="B22" s="93">
        <f>IF(ISBLANK(Distance Control_1),"",Control_1 Distance)</f>
        <v>0</v>
      </c>
      <c r="C22" s="94">
        <f>Control_1 Open_time</f>
        <v>45521.333333333336</v>
      </c>
      <c r="D22" s="94">
        <f>Control_1 Close_time</f>
        <v>45521.375</v>
      </c>
      <c r="E22" s="91" t="str">
        <f>IF(ISBLANK(Locale Control_1),"",Locale Control_1)</f>
        <v>PARKSVILLE</v>
      </c>
      <c r="F22" s="91" t="str">
        <f>IF(ISBLANK(Control_1 Establishment_2),"",Control_1 Establishment_2)</f>
        <v>Starbucks</v>
      </c>
      <c r="G22" s="117" t="str">
        <f>IF(ISBLANK('Control Entry'!J15),"",'Control Entry'!J15)</f>
        <v/>
      </c>
      <c r="H22" s="118"/>
      <c r="I22" s="119"/>
      <c r="J22" s="95"/>
    </row>
    <row r="23" spans="2:15" ht="40" customHeight="1" thickBot="1" x14ac:dyDescent="0.3">
      <c r="B23" s="96"/>
      <c r="C23" s="102">
        <f>Control_1 Open_time</f>
        <v>45521.333333333336</v>
      </c>
      <c r="D23" s="102">
        <f>Control_1 Close_time</f>
        <v>45521.375</v>
      </c>
      <c r="E23" s="97"/>
      <c r="F23" s="98" t="str">
        <f>IF(ISBLANK(Control_1 Establishment_3),"",Control_1 Establishment_3)</f>
        <v>382 Island Hwy E @ Mills St</v>
      </c>
      <c r="G23" s="120" t="str">
        <f>IF(ISBLANK('Control Entry'!K15),"",'Control Entry'!K15)</f>
        <v/>
      </c>
      <c r="H23" s="121"/>
      <c r="I23" s="122"/>
      <c r="J23" s="99"/>
    </row>
    <row r="24" spans="2:15" ht="40" customHeight="1" x14ac:dyDescent="0.25">
      <c r="B24" s="89"/>
      <c r="C24" s="101">
        <f>Control_2 Open_time</f>
        <v>45521.36041666667</v>
      </c>
      <c r="D24" s="101">
        <f>Control_2 Close_time</f>
        <v>45521.420833333337</v>
      </c>
      <c r="E24" s="100"/>
      <c r="F24" s="91" t="str">
        <f>IF(ISBLANK(Control_2 Establishment_1),"",Control_2 Establishment_1)</f>
        <v>INFORMATION</v>
      </c>
      <c r="G24" s="114" t="str">
        <f>IF(ISBLANK('Control Entry'!I16),"",'Control Entry'!I16)</f>
        <v>Main sign to left of trail to falls</v>
      </c>
      <c r="H24" s="115"/>
      <c r="I24" s="116"/>
      <c r="J24" s="92"/>
    </row>
    <row r="25" spans="2:15" ht="40" customHeight="1" x14ac:dyDescent="0.25">
      <c r="B25" s="93">
        <f>IF(ISBLANK(Distance Control_2),"",Control_2 Distance)</f>
        <v>22</v>
      </c>
      <c r="C25" s="94">
        <f>Control_2 Open_time</f>
        <v>45521.36041666667</v>
      </c>
      <c r="D25" s="94">
        <f>Control_2 Close_time</f>
        <v>45521.420833333337</v>
      </c>
      <c r="E25" s="91" t="str">
        <f>IF(ISBLANK(Locale Control_2),"",Locale Control_2)</f>
        <v>ERRINGTON</v>
      </c>
      <c r="F25" s="91" t="str">
        <f>IF(ISBLANK(Control_2 Establishment_2),"",Control_2 Establishment_2)</f>
        <v>Englishman River Provincial Park</v>
      </c>
      <c r="G25" s="117" t="str">
        <f>IF(ISBLANK('Control Entry'!J16),"",'Control Entry'!J16)</f>
        <v>Left panel "Things to do"</v>
      </c>
      <c r="H25" s="118"/>
      <c r="I25" s="119"/>
      <c r="J25" s="95"/>
    </row>
    <row r="26" spans="2:15" ht="40" customHeight="1" thickBot="1" x14ac:dyDescent="0.3">
      <c r="B26" s="96"/>
      <c r="C26" s="102">
        <f>Control_2 Open_time</f>
        <v>45521.36041666667</v>
      </c>
      <c r="D26" s="102">
        <f>Control_2 Close_time</f>
        <v>45521.420833333337</v>
      </c>
      <c r="E26" s="97"/>
      <c r="F26" s="98" t="str">
        <f>IF(ISBLANK(Control_2 Establishment_3),"",Control_2 Establishment_3)</f>
        <v>Parking lot, end of Errington Rd</v>
      </c>
      <c r="G26" s="120" t="str">
        <f>IF(ISBLANK('Control Entry'!K16),"",'Control Entry'!K16)</f>
        <v>"Playground near campsite __________"</v>
      </c>
      <c r="H26" s="121"/>
      <c r="I26" s="122"/>
      <c r="J26" s="99"/>
    </row>
    <row r="27" spans="2:15" ht="40" customHeight="1" x14ac:dyDescent="0.25">
      <c r="B27" s="89"/>
      <c r="C27" s="101">
        <f>Control_3 Open_time</f>
        <v>45521.388194444444</v>
      </c>
      <c r="D27" s="101">
        <f>Control_3 Close_time</f>
        <v>45521.468055555561</v>
      </c>
      <c r="E27" s="100"/>
      <c r="F27" s="91" t="str">
        <f>IF(ISBLANK(Control_3 Establishment_1),"",Control_3 Establishment_1)</f>
        <v>INFORMATION</v>
      </c>
      <c r="G27" s="114" t="str">
        <f>IF(ISBLANK('Control Entry'!I17),"",'Control Entry'!I17)</f>
        <v>Face back on route, signpost on right</v>
      </c>
      <c r="H27" s="115"/>
      <c r="I27" s="116"/>
      <c r="J27" s="92"/>
    </row>
    <row r="28" spans="2:15" ht="40" customHeight="1" x14ac:dyDescent="0.25">
      <c r="B28" s="93">
        <f>IF(ISBLANK(Distance Control_3),"",Control_3 Distance)</f>
        <v>44.5</v>
      </c>
      <c r="C28" s="94">
        <f>Control_3 Open_time</f>
        <v>45521.388194444444</v>
      </c>
      <c r="D28" s="94">
        <f>Control_3 Close_time</f>
        <v>45521.468055555561</v>
      </c>
      <c r="E28" s="91" t="str">
        <f>IF(ISBLANK(Locale Control_3),"",Locale Control_3)</f>
        <v>QUALICUM BEACH</v>
      </c>
      <c r="F28" s="91" t="str">
        <f>IF(ISBLANK(Control_3 Establishment_2),"",Control_3 Establishment_2)</f>
        <v>Little Qualicum River Regional Park</v>
      </c>
      <c r="G28" s="117" t="str">
        <f>IF(ISBLANK('Control Entry'!J17),"",'Control Entry'!J17)</f>
        <v/>
      </c>
      <c r="H28" s="118"/>
      <c r="I28" s="119"/>
      <c r="J28" s="95"/>
    </row>
    <row r="29" spans="2:15" ht="40" customHeight="1" thickBot="1" x14ac:dyDescent="0.3">
      <c r="B29" s="96"/>
      <c r="C29" s="102">
        <f>Control_3 Open_time</f>
        <v>45521.388194444444</v>
      </c>
      <c r="D29" s="102">
        <f>Control_3 Close_time</f>
        <v>45521.468055555561</v>
      </c>
      <c r="E29" s="97"/>
      <c r="F29" s="98" t="str">
        <f>IF(ISBLANK(Control_3 Establishment_3),"",Control_3 Establishment_3)</f>
        <v>Parking lot, 1505 Meadowood Way</v>
      </c>
      <c r="G29" s="120" t="str">
        <f>IF(ISBLANK('Control Entry'!K17),"",'Control Entry'!K17)</f>
        <v>"Don't be an ___________ target"</v>
      </c>
      <c r="H29" s="121"/>
      <c r="I29" s="122"/>
      <c r="J29" s="99"/>
    </row>
    <row r="30" spans="2:15" ht="40" customHeight="1" x14ac:dyDescent="0.25">
      <c r="B30" s="89"/>
      <c r="C30" s="101">
        <f>Control_4 Open_time</f>
        <v>45521.461111111115</v>
      </c>
      <c r="D30" s="101">
        <f>Control_4 Close_time</f>
        <v>45521.622222222228</v>
      </c>
      <c r="E30" s="100"/>
      <c r="F30" s="91" t="str">
        <f>IF(ISBLANK(Control_4 Establishment_1),"",Control_4 Establishment_1)</f>
        <v>BUSINESS</v>
      </c>
      <c r="G30" s="114" t="str">
        <f>IF(ISBLANK('Control Entry'!I18),"",'Control Entry'!I18)</f>
        <v/>
      </c>
      <c r="H30" s="115"/>
      <c r="I30" s="116"/>
      <c r="J30" s="92"/>
    </row>
    <row r="31" spans="2:15" ht="40" customHeight="1" x14ac:dyDescent="0.25">
      <c r="B31" s="93">
        <f>IF(ISBLANK(Distance Control_4),"",Control_4 Distance)</f>
        <v>104</v>
      </c>
      <c r="C31" s="94">
        <f>Control_4 Open_time</f>
        <v>45521.461111111115</v>
      </c>
      <c r="D31" s="94">
        <f>Control_4 Close_time</f>
        <v>45521.622222222228</v>
      </c>
      <c r="E31" s="91" t="str">
        <f>IF(ISBLANK(Locale Control_4),"",Locale Control_4)</f>
        <v>COURTENAY</v>
      </c>
      <c r="F31" s="91" t="str">
        <f>IF(ISBLANK(Control_4 Establishment_2),"",Control_4 Establishment_2)</f>
        <v>D's Café</v>
      </c>
      <c r="G31" s="117" t="str">
        <f>IF(ISBLANK('Control Entry'!J18),"",'Control Entry'!J18)</f>
        <v/>
      </c>
      <c r="H31" s="118"/>
      <c r="I31" s="119"/>
      <c r="J31" s="95"/>
    </row>
    <row r="32" spans="2:15" ht="40" customHeight="1" thickBot="1" x14ac:dyDescent="0.3">
      <c r="B32" s="96"/>
      <c r="C32" s="102">
        <f>Control_4 Open_time</f>
        <v>45521.461111111115</v>
      </c>
      <c r="D32" s="102">
        <f>Control_4 Close_time</f>
        <v>45521.622222222228</v>
      </c>
      <c r="E32" s="97"/>
      <c r="F32" s="98" t="str">
        <f>IF(ISBLANK(Control_4 Establishment_3),"",Control_4 Establishment_3)</f>
        <v>Airpark Marina,102A 20th St</v>
      </c>
      <c r="G32" s="120" t="str">
        <f>IF(ISBLANK('Control Entry'!K18),"",'Control Entry'!K18)</f>
        <v/>
      </c>
      <c r="H32" s="121"/>
      <c r="I32" s="122"/>
      <c r="J32" s="99"/>
    </row>
    <row r="33" spans="2:10" ht="40" customHeight="1" x14ac:dyDescent="0.25">
      <c r="B33" s="89"/>
      <c r="C33" s="101">
        <f>Control_5 Open_time</f>
        <v>45521.479861111111</v>
      </c>
      <c r="D33" s="101">
        <f>Control_5 Close_time</f>
        <v>45521.665277777778</v>
      </c>
      <c r="E33" s="100"/>
      <c r="F33" s="91" t="str">
        <f>IF(ISBLANK(Control_5 Establishment_1),"",Control_5 Establishment_1)</f>
        <v>INFORMATION</v>
      </c>
      <c r="G33" s="114" t="str">
        <f>IF(ISBLANK('Control Entry'!I19),"",'Control Entry'!I19)</f>
        <v>Far end of lot, past picnic shelter</v>
      </c>
      <c r="H33" s="115"/>
      <c r="I33" s="116"/>
      <c r="J33" s="92"/>
    </row>
    <row r="34" spans="2:10" ht="40" customHeight="1" x14ac:dyDescent="0.25">
      <c r="B34" s="93">
        <f>IF(ISBLANK(Distance Control_5),"",Control_5 Distance)</f>
        <v>119.4</v>
      </c>
      <c r="C34" s="94">
        <f>Control_5 Open_time</f>
        <v>45521.479861111111</v>
      </c>
      <c r="D34" s="94">
        <f>Control_5 Close_time</f>
        <v>45521.665277777778</v>
      </c>
      <c r="E34" s="91" t="str">
        <f>IF(ISBLANK(Locale Control_5),"",Locale Control_5)</f>
        <v>CUMBERLAND</v>
      </c>
      <c r="F34" s="91" t="str">
        <f>IF(ISBLANK(Control_5 Establishment_2),"",Control_5 Establishment_2)</f>
        <v>Cumberland Lake Park Campground</v>
      </c>
      <c r="G34" s="117" t="str">
        <f>IF(ISBLANK('Control Entry'!J19),"",'Control Entry'!J19)</f>
        <v>Ginger Goodwin Story' sign</v>
      </c>
      <c r="H34" s="118"/>
      <c r="I34" s="119"/>
      <c r="J34" s="95"/>
    </row>
    <row r="35" spans="2:10" ht="40" customHeight="1" thickBot="1" x14ac:dyDescent="0.3">
      <c r="B35" s="96"/>
      <c r="C35" s="102">
        <f>Control_5 Open_time</f>
        <v>45521.479861111111</v>
      </c>
      <c r="D35" s="102">
        <f>Control_5 Close_time</f>
        <v>45521.665277777778</v>
      </c>
      <c r="E35" s="97"/>
      <c r="F35" s="98" t="str">
        <f>IF(ISBLANK(Control_5 Establishment_3),"",Control_5 Establishment_3)</f>
        <v>1100 Comox Lake Rd</v>
      </c>
      <c r="G35" s="120" t="str">
        <f>IF(ISBLANK('Control Entry'!K19),"",'Control Entry'!K19)</f>
        <v>"…on Miners _____________Day…"</v>
      </c>
      <c r="H35" s="121"/>
      <c r="I35" s="122"/>
      <c r="J35" s="99"/>
    </row>
    <row r="36" spans="2:10" ht="40" customHeight="1" x14ac:dyDescent="0.25">
      <c r="B36" s="89"/>
      <c r="C36" s="101">
        <f>Control_6 Open_time</f>
        <v>45521.543055555558</v>
      </c>
      <c r="D36" s="101">
        <f>Control_6 Close_time</f>
        <v>45521.808333333334</v>
      </c>
      <c r="E36" s="100"/>
      <c r="F36" s="91" t="str">
        <f>IF(ISBLANK(Control_6 Establishment_1),"",Control_6 Establishment_1)</f>
        <v>BUSINESS</v>
      </c>
      <c r="G36" s="114" t="str">
        <f>IF(ISBLANK('Control Entry'!I20),"",'Control Entry'!I20)</f>
        <v/>
      </c>
      <c r="H36" s="115"/>
      <c r="I36" s="116"/>
      <c r="J36" s="92"/>
    </row>
    <row r="37" spans="2:10" ht="40" customHeight="1" x14ac:dyDescent="0.25">
      <c r="B37" s="93">
        <f>IF(ISBLANK(Distance Control_6),"",Control_6 Distance)</f>
        <v>171</v>
      </c>
      <c r="C37" s="94">
        <f>Control_6 Open_time</f>
        <v>45521.543055555558</v>
      </c>
      <c r="D37" s="94">
        <f>Control_6 Close_time</f>
        <v>45521.808333333334</v>
      </c>
      <c r="E37" s="91" t="str">
        <f>IF(ISBLANK(Locale Control_6),"",Locale Control_6)</f>
        <v>QUALICUM BAY</v>
      </c>
      <c r="F37" s="91" t="str">
        <f>IF(ISBLANK(Control_6 Establishment_2),"",Control_6 Establishment_2)</f>
        <v>Cone Zone</v>
      </c>
      <c r="G37" s="117" t="str">
        <f>IF(ISBLANK('Control Entry'!J20),"",'Control Entry'!J20)</f>
        <v/>
      </c>
      <c r="H37" s="118"/>
      <c r="I37" s="119"/>
      <c r="J37" s="95"/>
    </row>
    <row r="38" spans="2:10" ht="40" customHeight="1" thickBot="1" x14ac:dyDescent="0.3">
      <c r="B38" s="96"/>
      <c r="C38" s="102">
        <f>Control_6 Open_time</f>
        <v>45521.543055555558</v>
      </c>
      <c r="D38" s="102">
        <f>Control_6 Close_time</f>
        <v>45521.808333333334</v>
      </c>
      <c r="E38" s="97"/>
      <c r="F38" s="98" t="str">
        <f>IF(ISBLANK(Control_6 Establishment_3),"",Control_6 Establishment_3)</f>
        <v>5970 Island Hwy W</v>
      </c>
      <c r="G38" s="120" t="str">
        <f>IF(ISBLANK('Control Entry'!K20),"",'Control Entry'!K20)</f>
        <v/>
      </c>
      <c r="H38" s="121"/>
      <c r="I38" s="122"/>
      <c r="J38" s="99"/>
    </row>
    <row r="39" spans="2:10" ht="40" customHeight="1" x14ac:dyDescent="0.25">
      <c r="B39" s="89"/>
      <c r="C39" s="101">
        <f>Control_7 Open_time</f>
        <v>45521.581250000003</v>
      </c>
      <c r="D39" s="101">
        <f>Control_7 Close_time</f>
        <v>45521.895833333336</v>
      </c>
      <c r="E39" s="100"/>
      <c r="F39" s="91" t="str">
        <f>IF(ISBLANK(Control_7 Establishment_1),"",Control_7 Establishment_1)</f>
        <v>BUSINESS</v>
      </c>
      <c r="G39" s="114" t="str">
        <f>IF(ISBLANK('Control Entry'!I21),"",'Control Entry'!I21)</f>
        <v/>
      </c>
      <c r="H39" s="115"/>
      <c r="I39" s="116"/>
      <c r="J39" s="92"/>
    </row>
    <row r="40" spans="2:10" ht="40" customHeight="1" x14ac:dyDescent="0.25">
      <c r="B40" s="93">
        <f>IF(ISBLANK(Distance Control_7),"",Control_7 Distance)</f>
        <v>202.1</v>
      </c>
      <c r="C40" s="94">
        <f>Control_7 Open_time</f>
        <v>45521.581250000003</v>
      </c>
      <c r="D40" s="94">
        <f>Control_7 Close_time</f>
        <v>45521.895833333336</v>
      </c>
      <c r="E40" s="91" t="str">
        <f>IF(ISBLANK(Locale Control_7),"",Locale Control_7)</f>
        <v>PARKSVILLE</v>
      </c>
      <c r="F40" s="91" t="str">
        <f>IF(ISBLANK(Control_7 Establishment_2),"",Control_7 Establishment_2)</f>
        <v>Shell Gas</v>
      </c>
      <c r="G40" s="117" t="str">
        <f>IF(ISBLANK('Control Entry'!J21),"",'Control Entry'!J21)</f>
        <v/>
      </c>
      <c r="H40" s="118"/>
      <c r="I40" s="119"/>
      <c r="J40" s="95"/>
    </row>
    <row r="41" spans="2:10" ht="40" customHeight="1" thickBot="1" x14ac:dyDescent="0.3">
      <c r="B41" s="96"/>
      <c r="C41" s="102">
        <f>Control_7 Open_time</f>
        <v>45521.581250000003</v>
      </c>
      <c r="D41" s="102">
        <f>Control_7 Close_time</f>
        <v>45521.895833333336</v>
      </c>
      <c r="E41" s="97"/>
      <c r="F41" s="98" t="str">
        <f>IF(ISBLANK(Control_7 Establishment_3),"",Control_7 Establishment_3)</f>
        <v>370 Island Hwy E @ McVickers St</v>
      </c>
      <c r="G41" s="120" t="str">
        <f>IF(ISBLANK('Control Entry'!K21),"",'Control Entry'!K21)</f>
        <v/>
      </c>
      <c r="H41" s="121"/>
      <c r="I41" s="122"/>
      <c r="J41" s="99"/>
    </row>
    <row r="42" spans="2:10" ht="40" customHeight="1" x14ac:dyDescent="0.25">
      <c r="B42" s="89"/>
      <c r="C42" s="101" t="str">
        <f>Control_8 Open_time</f>
        <v/>
      </c>
      <c r="D42" s="101" t="str">
        <f>Control_8 Close_time</f>
        <v/>
      </c>
      <c r="E42" s="100"/>
      <c r="F42" s="91" t="str">
        <f>IF(ISBLANK(Control_8 Establishment_1),"",Control_8 Establishment_1)</f>
        <v/>
      </c>
      <c r="G42" s="114" t="str">
        <f>IF(ISBLANK('Control Entry'!I22),"",'Control Entry'!I22)</f>
        <v/>
      </c>
      <c r="H42" s="115"/>
      <c r="I42" s="116"/>
      <c r="J42" s="92"/>
    </row>
    <row r="43" spans="2:10" ht="40" customHeight="1" x14ac:dyDescent="0.25">
      <c r="B43" s="93" t="str">
        <f>IF(ISBLANK(Distance Control_8),"",Control_8 Distance)</f>
        <v/>
      </c>
      <c r="C43" s="94" t="str">
        <f>Control_8 Open_time</f>
        <v/>
      </c>
      <c r="D43" s="94" t="str">
        <f>Control_8 Close_time</f>
        <v/>
      </c>
      <c r="E43" s="91" t="str">
        <f>IF(ISBLANK(Locale Control_8),"",Locale Control_8)</f>
        <v/>
      </c>
      <c r="F43" s="91" t="str">
        <f>IF(ISBLANK(Control_8 Establishment_2),"",Control_8 Establishment_2)</f>
        <v/>
      </c>
      <c r="G43" s="117" t="str">
        <f>IF(ISBLANK('Control Entry'!J22),"",'Control Entry'!J22)</f>
        <v/>
      </c>
      <c r="H43" s="118"/>
      <c r="I43" s="119"/>
      <c r="J43" s="95"/>
    </row>
    <row r="44" spans="2:10" ht="40" customHeight="1" thickBot="1" x14ac:dyDescent="0.3">
      <c r="B44" s="96"/>
      <c r="C44" s="102" t="str">
        <f>Control_8 Open_time</f>
        <v/>
      </c>
      <c r="D44" s="102" t="str">
        <f>Control_8 Close_time</f>
        <v/>
      </c>
      <c r="E44" s="97"/>
      <c r="F44" s="98" t="str">
        <f>IF(ISBLANK(Control_8 Establishment_3),"",Control_8 Establishment_3)</f>
        <v/>
      </c>
      <c r="G44" s="120" t="str">
        <f>IF(ISBLANK('Control Entry'!K22),"",'Control Entry'!K22)</f>
        <v/>
      </c>
      <c r="H44" s="121"/>
      <c r="I44" s="122"/>
      <c r="J44" s="99"/>
    </row>
    <row r="45" spans="2:10" ht="40" customHeight="1" x14ac:dyDescent="0.25">
      <c r="B45" s="89"/>
      <c r="C45" s="101" t="str">
        <f>Control_9 Open_time</f>
        <v/>
      </c>
      <c r="D45" s="101" t="str">
        <f>Control_9 Close_time</f>
        <v/>
      </c>
      <c r="E45" s="100"/>
      <c r="F45" s="91" t="str">
        <f>IF(ISBLANK(Control_9 Establishment_1),"",Control_9 Establishment_1)</f>
        <v/>
      </c>
      <c r="G45" s="114" t="str">
        <f>IF(ISBLANK('Control Entry'!I23),"",'Control Entry'!I23)</f>
        <v/>
      </c>
      <c r="H45" s="115"/>
      <c r="I45" s="116"/>
      <c r="J45" s="92"/>
    </row>
    <row r="46" spans="2:10" ht="40" customHeight="1" x14ac:dyDescent="0.25">
      <c r="B46" s="93" t="str">
        <f>IF(ISBLANK(Distance Control_9),"",Control_9 Distance)</f>
        <v/>
      </c>
      <c r="C46" s="94" t="str">
        <f>Control_9 Open_time</f>
        <v/>
      </c>
      <c r="D46" s="94" t="str">
        <f>Control_9 Close_time</f>
        <v/>
      </c>
      <c r="E46" s="91" t="str">
        <f>IF(ISBLANK(Locale Control_9),"",Locale Control_9)</f>
        <v/>
      </c>
      <c r="F46" s="91" t="str">
        <f>IF(ISBLANK(Control_9 Establishment_2),"",Control_9 Establishment_2)</f>
        <v/>
      </c>
      <c r="G46" s="117" t="str">
        <f>IF(ISBLANK('Control Entry'!J23),"",'Control Entry'!J23)</f>
        <v/>
      </c>
      <c r="H46" s="118"/>
      <c r="I46" s="119"/>
      <c r="J46" s="95"/>
    </row>
    <row r="47" spans="2:10" ht="40" customHeight="1" thickBot="1" x14ac:dyDescent="0.3">
      <c r="B47" s="96"/>
      <c r="C47" s="102" t="str">
        <f>Control_9 Open_time</f>
        <v/>
      </c>
      <c r="D47" s="102" t="str">
        <f>Control_9 Close_time</f>
        <v/>
      </c>
      <c r="E47" s="97"/>
      <c r="F47" s="98" t="str">
        <f>IF(ISBLANK(Control_9 Establishment_3),"",Control_9 Establishment_3)</f>
        <v/>
      </c>
      <c r="G47" s="120" t="str">
        <f>IF(ISBLANK('Control Entry'!K23),"",'Control Entry'!K23)</f>
        <v/>
      </c>
      <c r="H47" s="121"/>
      <c r="I47" s="122"/>
      <c r="J47" s="99"/>
    </row>
    <row r="48" spans="2:10" ht="40" customHeight="1" x14ac:dyDescent="0.25">
      <c r="B48" s="89"/>
      <c r="C48" s="101" t="str">
        <f>Control_10 Open_time</f>
        <v/>
      </c>
      <c r="D48" s="101" t="str">
        <f>Control_10 Close_time</f>
        <v/>
      </c>
      <c r="E48" s="100"/>
      <c r="F48" s="91" t="str">
        <f>IF(ISBLANK(Control_10 Establishment_1),"",Control_10 Establishment_1)</f>
        <v/>
      </c>
      <c r="G48" s="114" t="str">
        <f>IF(ISBLANK('Control Entry'!I24),"",'Control Entry'!I24)</f>
        <v/>
      </c>
      <c r="H48" s="115"/>
      <c r="I48" s="116"/>
      <c r="J48" s="92"/>
    </row>
    <row r="49" spans="2:11" ht="40" customHeight="1" x14ac:dyDescent="0.25">
      <c r="B49" s="93" t="str">
        <f>IF(ISBLANK(Distance Control_10),"",Control_10 Distance)</f>
        <v/>
      </c>
      <c r="C49" s="94" t="str">
        <f>Control_10 Open_time</f>
        <v/>
      </c>
      <c r="D49" s="94" t="str">
        <f>Control_10 Close_time</f>
        <v/>
      </c>
      <c r="E49" s="91" t="str">
        <f>IF(ISBLANK(Locale Control_10),"",Locale Control_10)</f>
        <v/>
      </c>
      <c r="F49" s="91" t="str">
        <f>IF(ISBLANK(Control_10 Establishment_2),"",Control_10 Establishment_2)</f>
        <v/>
      </c>
      <c r="G49" s="117" t="str">
        <f>IF(ISBLANK('Control Entry'!J24),"",'Control Entry'!J24)</f>
        <v/>
      </c>
      <c r="H49" s="118"/>
      <c r="I49" s="119"/>
      <c r="J49" s="95"/>
    </row>
    <row r="50" spans="2:11" ht="40" customHeight="1" thickBot="1" x14ac:dyDescent="0.3">
      <c r="B50" s="96"/>
      <c r="C50" s="102" t="str">
        <f>Control_10 Open_time</f>
        <v/>
      </c>
      <c r="D50" s="102" t="str">
        <f>Control_10 Close_time</f>
        <v/>
      </c>
      <c r="E50" s="97"/>
      <c r="F50" s="98" t="str">
        <f>IF(ISBLANK(Control_10 Establishment_3),"",Control_10 Establishment_3)</f>
        <v/>
      </c>
      <c r="G50" s="120" t="str">
        <f>IF(ISBLANK('Control Entry'!K24),"",'Control Entry'!K24)</f>
        <v/>
      </c>
      <c r="H50" s="121"/>
      <c r="I50" s="122"/>
      <c r="J50" s="99"/>
    </row>
    <row r="52" spans="2:11" ht="24" customHeight="1" x14ac:dyDescent="0.15">
      <c r="B52" s="123" t="s">
        <v>30</v>
      </c>
      <c r="C52" s="123"/>
      <c r="D52" s="123"/>
      <c r="E52" s="123"/>
      <c r="F52" s="123"/>
      <c r="I52" s="58" t="s">
        <v>56</v>
      </c>
      <c r="J52" s="81" t="str">
        <f>IF(ISBLANK('Control Entry'!F10),"",'Control Entry'!F10)</f>
        <v>‭+1 (250) 792-3126‬</v>
      </c>
      <c r="K52" s="54"/>
    </row>
    <row r="54" spans="2:11" x14ac:dyDescent="0.15">
      <c r="B54" s="76" t="s">
        <v>59</v>
      </c>
      <c r="C54" s="77">
        <f>'Control Entry'!B3</f>
        <v>45428</v>
      </c>
    </row>
    <row r="55" spans="2:11" ht="23" x14ac:dyDescent="0.15">
      <c r="B55" s="58"/>
      <c r="C55" s="58"/>
      <c r="D55" s="58"/>
      <c r="E55" s="58"/>
      <c r="F55" s="54"/>
      <c r="G55" s="60"/>
      <c r="H55" s="60"/>
      <c r="I55" s="60"/>
      <c r="J55" s="54"/>
    </row>
    <row r="56" spans="2:11" x14ac:dyDescent="0.15">
      <c r="E56" s="1"/>
    </row>
    <row r="57" spans="2:11" x14ac:dyDescent="0.15">
      <c r="B57" s="56"/>
      <c r="C57" s="57"/>
      <c r="D57" s="57"/>
      <c r="E57" s="57"/>
      <c r="F57" s="112"/>
      <c r="G57" s="113"/>
      <c r="H57" s="113"/>
      <c r="I57" s="113"/>
      <c r="J57" s="113"/>
    </row>
  </sheetData>
  <mergeCells count="50">
    <mergeCell ref="C2:F2"/>
    <mergeCell ref="B19:J19"/>
    <mergeCell ref="B10:C10"/>
    <mergeCell ref="E10:G10"/>
    <mergeCell ref="C7:F8"/>
    <mergeCell ref="H7:H8"/>
    <mergeCell ref="E5:H6"/>
    <mergeCell ref="E3:H3"/>
    <mergeCell ref="E4:H4"/>
    <mergeCell ref="L10:M10"/>
    <mergeCell ref="N10:O10"/>
    <mergeCell ref="G44:I44"/>
    <mergeCell ref="G38:I38"/>
    <mergeCell ref="G39:I39"/>
    <mergeCell ref="G40:I40"/>
    <mergeCell ref="G41:I41"/>
    <mergeCell ref="G42:I42"/>
    <mergeCell ref="G43:I43"/>
    <mergeCell ref="G32:I32"/>
    <mergeCell ref="G33:I33"/>
    <mergeCell ref="G34:I34"/>
    <mergeCell ref="G35:I35"/>
    <mergeCell ref="G36:I36"/>
    <mergeCell ref="I17:J17"/>
    <mergeCell ref="L17:M17"/>
    <mergeCell ref="G47:I47"/>
    <mergeCell ref="G20:I20"/>
    <mergeCell ref="D12:E12"/>
    <mergeCell ref="D14:E14"/>
    <mergeCell ref="G27:I27"/>
    <mergeCell ref="G28:I28"/>
    <mergeCell ref="G26:I26"/>
    <mergeCell ref="C17:F17"/>
    <mergeCell ref="G37:I37"/>
    <mergeCell ref="N17:O17"/>
    <mergeCell ref="F57:J57"/>
    <mergeCell ref="G48:I48"/>
    <mergeCell ref="G49:I49"/>
    <mergeCell ref="G50:I50"/>
    <mergeCell ref="G21:I21"/>
    <mergeCell ref="G22:I22"/>
    <mergeCell ref="G23:I23"/>
    <mergeCell ref="G24:I24"/>
    <mergeCell ref="G25:I25"/>
    <mergeCell ref="G29:I29"/>
    <mergeCell ref="G30:I30"/>
    <mergeCell ref="G31:I31"/>
    <mergeCell ref="B52:F52"/>
    <mergeCell ref="G45:I45"/>
    <mergeCell ref="G46:I46"/>
  </mergeCells>
  <printOptions horizontalCentered="1" verticalCentered="1"/>
  <pageMargins left="0.39370078740157483" right="0.39370078740157483" top="0.39370078740157483" bottom="0.39370078740157483" header="0.15748031496062992" footer="0.15748031496062992"/>
  <pageSetup scale="37"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E900F-F270-644D-8463-167507B73A41}">
  <sheetPr>
    <pageSetUpPr fitToPage="1"/>
  </sheetPr>
  <dimension ref="B1:O57"/>
  <sheetViews>
    <sheetView zoomScale="115" zoomScaleNormal="115" zoomScalePageLayoutView="75" workbookViewId="0">
      <selection activeCell="C14" sqref="C14"/>
    </sheetView>
  </sheetViews>
  <sheetFormatPr baseColWidth="10" defaultColWidth="8.83203125" defaultRowHeight="13" x14ac:dyDescent="0.15"/>
  <cols>
    <col min="1" max="1" width="1.83203125" customWidth="1"/>
    <col min="2" max="2" width="12.83203125" customWidth="1"/>
    <col min="3" max="4" width="15.83203125" customWidth="1"/>
    <col min="5" max="5" width="25.83203125" customWidth="1"/>
    <col min="6" max="6" width="40.83203125" customWidth="1"/>
    <col min="7" max="7" width="12.83203125" customWidth="1"/>
    <col min="8" max="8" width="25.83203125" customWidth="1"/>
    <col min="9" max="9" width="30.83203125" customWidth="1"/>
    <col min="10" max="10" width="25.83203125" customWidth="1"/>
    <col min="11" max="11" width="1.83203125" customWidth="1"/>
    <col min="12" max="12" width="8.83203125" customWidth="1"/>
  </cols>
  <sheetData>
    <row r="1" spans="2:15" x14ac:dyDescent="0.15">
      <c r="K1" s="75"/>
      <c r="L1" s="75"/>
      <c r="M1" s="75"/>
    </row>
    <row r="2" spans="2:15" ht="18" x14ac:dyDescent="0.2">
      <c r="C2" s="130" t="s">
        <v>33</v>
      </c>
      <c r="D2" s="130"/>
      <c r="E2" s="130"/>
      <c r="F2" s="130"/>
      <c r="G2" s="55"/>
      <c r="H2" s="55"/>
      <c r="I2" s="78" t="s">
        <v>58</v>
      </c>
      <c r="J2" s="79">
        <f>'Control Entry'!B4</f>
        <v>45516</v>
      </c>
      <c r="K2" s="55"/>
      <c r="L2" s="55"/>
    </row>
    <row r="3" spans="2:15" ht="45" customHeight="1" x14ac:dyDescent="0.45">
      <c r="D3" s="12"/>
      <c r="E3" s="139" t="s">
        <v>29</v>
      </c>
      <c r="F3" s="139"/>
      <c r="G3" s="139"/>
      <c r="H3" s="139"/>
      <c r="I3" s="66" t="s">
        <v>60</v>
      </c>
      <c r="J3" s="71">
        <f>IF(ISBLANK(Brevet_Number),"",Brevet_Number)</f>
        <v>5412</v>
      </c>
      <c r="K3" s="39"/>
      <c r="L3" s="39"/>
    </row>
    <row r="4" spans="2:15" ht="20" customHeight="1" x14ac:dyDescent="0.15">
      <c r="C4" s="12"/>
      <c r="E4" s="140" t="str">
        <f>IF(ISBLANK(Brevet_Length),"",Brevet_Length&amp;" km Randonnée")</f>
        <v>200 km Randonnée</v>
      </c>
      <c r="F4" s="140"/>
      <c r="G4" s="140"/>
      <c r="H4" s="140"/>
      <c r="K4" s="51"/>
      <c r="L4" s="51"/>
    </row>
    <row r="5" spans="2:15" ht="20" customHeight="1" x14ac:dyDescent="0.2">
      <c r="D5" s="52"/>
      <c r="E5" s="138" t="str">
        <f>IF(ISBLANK(Brevet_Description),"",Brevet_Description)</f>
        <v>Coombs Cumberland Explorer</v>
      </c>
      <c r="F5" s="138"/>
      <c r="G5" s="138"/>
      <c r="H5" s="138"/>
      <c r="I5" s="74"/>
      <c r="J5" s="52"/>
      <c r="K5" s="52"/>
      <c r="L5" s="52"/>
    </row>
    <row r="6" spans="2:15" ht="20" x14ac:dyDescent="0.2">
      <c r="D6" s="67"/>
      <c r="E6" s="138"/>
      <c r="F6" s="138"/>
      <c r="G6" s="138"/>
      <c r="H6" s="138"/>
      <c r="I6" s="74"/>
      <c r="J6" s="67"/>
      <c r="K6" s="52"/>
      <c r="L6" s="52"/>
    </row>
    <row r="7" spans="2:15" ht="25" customHeight="1" x14ac:dyDescent="0.15">
      <c r="C7" s="134"/>
      <c r="D7" s="134"/>
      <c r="E7" s="134"/>
      <c r="F7" s="134"/>
      <c r="H7" s="136"/>
    </row>
    <row r="8" spans="2:15" ht="21" thickBot="1" x14ac:dyDescent="0.25">
      <c r="B8" s="17" t="s">
        <v>61</v>
      </c>
      <c r="C8" s="135"/>
      <c r="D8" s="135"/>
      <c r="E8" s="135"/>
      <c r="F8" s="135"/>
      <c r="G8" s="17" t="s">
        <v>31</v>
      </c>
      <c r="H8" s="137"/>
      <c r="I8" s="53"/>
      <c r="J8" s="53"/>
      <c r="K8" s="53"/>
    </row>
    <row r="9" spans="2:15" ht="22" customHeight="1" x14ac:dyDescent="0.15">
      <c r="B9" s="58"/>
      <c r="C9" s="58"/>
      <c r="D9" s="58"/>
      <c r="E9" s="58"/>
      <c r="F9" s="54"/>
      <c r="G9" s="60"/>
      <c r="H9" s="60"/>
      <c r="I9" s="60"/>
      <c r="J9" s="54"/>
    </row>
    <row r="10" spans="2:15" ht="20" customHeight="1" x14ac:dyDescent="0.15">
      <c r="B10" s="132" t="s">
        <v>34</v>
      </c>
      <c r="C10" s="132"/>
      <c r="D10" s="64" t="s">
        <v>35</v>
      </c>
      <c r="E10" s="133" t="s">
        <v>57</v>
      </c>
      <c r="F10" s="133"/>
      <c r="G10" s="133"/>
      <c r="H10" s="70"/>
      <c r="I10" s="59"/>
      <c r="J10" s="59"/>
      <c r="K10" s="19"/>
      <c r="L10" s="111"/>
      <c r="M10" s="111"/>
      <c r="N10" s="111"/>
      <c r="O10" s="111"/>
    </row>
    <row r="11" spans="2:15" ht="23" x14ac:dyDescent="0.15">
      <c r="B11" s="58"/>
      <c r="C11" s="58" t="s">
        <v>73</v>
      </c>
      <c r="D11" s="58"/>
      <c r="E11" s="58"/>
      <c r="F11" s="54"/>
      <c r="G11" s="60"/>
      <c r="H11" s="60"/>
      <c r="I11" s="60"/>
      <c r="J11" s="54"/>
    </row>
    <row r="12" spans="2:15" ht="22" thickBot="1" x14ac:dyDescent="0.25">
      <c r="D12" s="127" t="s">
        <v>19</v>
      </c>
      <c r="E12" s="127"/>
      <c r="F12" s="69">
        <f>IF(ISBLANK('Control Entry'!B12),"",'Control Entry'!B12)</f>
        <v>45521</v>
      </c>
      <c r="G12" s="73"/>
      <c r="H12" s="17" t="s">
        <v>63</v>
      </c>
      <c r="I12" s="68">
        <f>IF(ISBLANK('Control Entry'!B13),"",'Control Entry'!B13)</f>
        <v>0.33333333333333331</v>
      </c>
      <c r="J12" s="23"/>
    </row>
    <row r="13" spans="2:15" ht="20" x14ac:dyDescent="0.2">
      <c r="D13" s="22"/>
      <c r="E13" s="22"/>
      <c r="F13" s="21"/>
      <c r="G13" s="21"/>
      <c r="H13" s="21"/>
      <c r="L13" s="23"/>
      <c r="M13" s="23"/>
      <c r="N13" s="23"/>
    </row>
    <row r="14" spans="2:15" ht="21" thickBot="1" x14ac:dyDescent="0.25">
      <c r="D14" s="127" t="s">
        <v>62</v>
      </c>
      <c r="E14" s="127"/>
      <c r="F14" s="69"/>
      <c r="G14" s="73"/>
      <c r="H14" s="17" t="s">
        <v>64</v>
      </c>
      <c r="I14" s="68"/>
      <c r="J14" s="23"/>
      <c r="L14" s="45"/>
      <c r="M14" s="45"/>
      <c r="N14" s="45"/>
    </row>
    <row r="15" spans="2:15" ht="20" x14ac:dyDescent="0.2">
      <c r="B15" s="22"/>
      <c r="C15" s="22"/>
      <c r="D15" s="21"/>
      <c r="E15" s="21"/>
      <c r="H15" s="21"/>
    </row>
    <row r="16" spans="2:15" ht="21" thickBot="1" x14ac:dyDescent="0.25">
      <c r="C16" s="65"/>
      <c r="D16" s="65"/>
      <c r="E16" s="65"/>
      <c r="F16" s="65"/>
      <c r="H16" s="17" t="s">
        <v>65</v>
      </c>
      <c r="I16" s="68"/>
      <c r="J16" s="23"/>
      <c r="L16" s="45"/>
      <c r="M16" s="45"/>
      <c r="N16" s="45"/>
    </row>
    <row r="17" spans="2:15" ht="20" x14ac:dyDescent="0.15">
      <c r="C17" s="128" t="s">
        <v>14</v>
      </c>
      <c r="D17" s="128"/>
      <c r="E17" s="128"/>
      <c r="F17" s="128"/>
      <c r="G17" s="19"/>
      <c r="H17" s="19"/>
      <c r="I17" s="129"/>
      <c r="J17" s="129"/>
      <c r="K17" s="19"/>
      <c r="L17" s="111"/>
      <c r="M17" s="111"/>
      <c r="N17" s="111"/>
      <c r="O17" s="111"/>
    </row>
    <row r="18" spans="2:15" ht="6" customHeight="1" thickBot="1" x14ac:dyDescent="0.2">
      <c r="B18" s="61"/>
      <c r="C18" s="61"/>
      <c r="D18" s="61"/>
      <c r="E18" s="61"/>
      <c r="F18" s="62"/>
      <c r="G18" s="63"/>
      <c r="H18" s="63"/>
      <c r="I18" s="63"/>
      <c r="J18" s="62"/>
    </row>
    <row r="19" spans="2:15" ht="22" thickTop="1" thickBot="1" x14ac:dyDescent="0.2">
      <c r="B19" s="131" t="s">
        <v>50</v>
      </c>
      <c r="C19" s="131"/>
      <c r="D19" s="131"/>
      <c r="E19" s="131"/>
      <c r="F19" s="131"/>
      <c r="G19" s="131"/>
      <c r="H19" s="131"/>
      <c r="I19" s="131"/>
      <c r="J19" s="131"/>
    </row>
    <row r="20" spans="2:15" ht="20" thickBot="1" x14ac:dyDescent="0.25">
      <c r="B20" s="50" t="s">
        <v>26</v>
      </c>
      <c r="C20" s="8" t="s">
        <v>0</v>
      </c>
      <c r="D20" s="8" t="s">
        <v>1</v>
      </c>
      <c r="E20" s="8" t="s">
        <v>22</v>
      </c>
      <c r="F20" s="8" t="s">
        <v>27</v>
      </c>
      <c r="G20" s="124" t="s">
        <v>36</v>
      </c>
      <c r="H20" s="125"/>
      <c r="I20" s="126"/>
      <c r="J20" s="50" t="s">
        <v>28</v>
      </c>
    </row>
    <row r="21" spans="2:15" ht="40" customHeight="1" x14ac:dyDescent="0.25">
      <c r="B21" s="89"/>
      <c r="C21" s="101" t="str">
        <f>'Control Entry'!N$28</f>
        <v/>
      </c>
      <c r="D21" s="101" t="str">
        <f>'Control Entry'!O$28</f>
        <v/>
      </c>
      <c r="E21" s="90"/>
      <c r="F21" s="91" t="str">
        <f>IF(ISBLANK('Control Entry'!F$28),"",'Control Entry'!F$28)</f>
        <v/>
      </c>
      <c r="G21" s="114" t="str">
        <f>IF(ISBLANK('Control Entry'!I$28),"",'Control Entry'!I$28)</f>
        <v/>
      </c>
      <c r="H21" s="115"/>
      <c r="I21" s="116"/>
      <c r="J21" s="92"/>
    </row>
    <row r="22" spans="2:15" ht="40" customHeight="1" x14ac:dyDescent="0.25">
      <c r="B22" s="93" t="str">
        <f>IF(ISBLANK('Control Entry'!D$28),"",'Control Entry'!D$28)</f>
        <v/>
      </c>
      <c r="C22" s="94" t="str">
        <f>'Control Entry'!N$28</f>
        <v/>
      </c>
      <c r="D22" s="94" t="str">
        <f>'Control Entry'!O$28</f>
        <v/>
      </c>
      <c r="E22" s="91" t="str">
        <f>IF(ISBLANK('Control Entry'!E$28),"",'Control Entry'!E$28)</f>
        <v/>
      </c>
      <c r="F22" s="91" t="str">
        <f>IF(ISBLANK('Control Entry'!G$28),"",'Control Entry'!G$28)</f>
        <v/>
      </c>
      <c r="G22" s="117" t="str">
        <f>IF(ISBLANK('Control Entry'!J$28),"",'Control Entry'!J$28)</f>
        <v/>
      </c>
      <c r="H22" s="118"/>
      <c r="I22" s="119"/>
      <c r="J22" s="95"/>
    </row>
    <row r="23" spans="2:15" ht="40" customHeight="1" thickBot="1" x14ac:dyDescent="0.3">
      <c r="B23" s="96"/>
      <c r="C23" s="102" t="str">
        <f>'Control Entry'!N$28</f>
        <v/>
      </c>
      <c r="D23" s="102" t="str">
        <f>'Control Entry'!O$28</f>
        <v/>
      </c>
      <c r="E23" s="97"/>
      <c r="F23" s="98" t="str">
        <f>IF(ISBLANK('Control Entry'!H$28),"",'Control Entry'!H$28)</f>
        <v/>
      </c>
      <c r="G23" s="120" t="str">
        <f>IF(ISBLANK('Control Entry'!K$28),"",'Control Entry'!K$28)</f>
        <v/>
      </c>
      <c r="H23" s="121"/>
      <c r="I23" s="122"/>
      <c r="J23" s="99"/>
    </row>
    <row r="24" spans="2:15" ht="40" customHeight="1" x14ac:dyDescent="0.25">
      <c r="B24" s="89"/>
      <c r="C24" s="101" t="str">
        <f>'Control Entry'!N$29</f>
        <v/>
      </c>
      <c r="D24" s="101" t="str">
        <f>'Control Entry'!O$29</f>
        <v/>
      </c>
      <c r="E24" s="90"/>
      <c r="F24" s="91" t="str">
        <f>IF(ISBLANK('Control Entry'!F$29),"",'Control Entry'!F$29)</f>
        <v/>
      </c>
      <c r="G24" s="114" t="str">
        <f>IF(ISBLANK('Control Entry'!I$29),"",'Control Entry'!I$29)</f>
        <v/>
      </c>
      <c r="H24" s="115"/>
      <c r="I24" s="116"/>
      <c r="J24" s="92"/>
    </row>
    <row r="25" spans="2:15" ht="40" customHeight="1" x14ac:dyDescent="0.25">
      <c r="B25" s="93" t="str">
        <f>IF(ISBLANK('Control Entry'!D$29),"",'Control Entry'!D$29)</f>
        <v/>
      </c>
      <c r="C25" s="94" t="str">
        <f>'Control Entry'!N$29</f>
        <v/>
      </c>
      <c r="D25" s="94" t="str">
        <f>'Control Entry'!O$29</f>
        <v/>
      </c>
      <c r="E25" s="91" t="str">
        <f>IF(ISBLANK('Control Entry'!E$29),"",'Control Entry'!E$29)</f>
        <v/>
      </c>
      <c r="F25" s="91" t="str">
        <f>IF(ISBLANK('Control Entry'!G$29),"",'Control Entry'!G$29)</f>
        <v/>
      </c>
      <c r="G25" s="117" t="str">
        <f>IF(ISBLANK('Control Entry'!J$29),"",'Control Entry'!J$29)</f>
        <v/>
      </c>
      <c r="H25" s="118"/>
      <c r="I25" s="119"/>
      <c r="J25" s="95"/>
    </row>
    <row r="26" spans="2:15" ht="40" customHeight="1" thickBot="1" x14ac:dyDescent="0.3">
      <c r="B26" s="96"/>
      <c r="C26" s="102" t="str">
        <f>'Control Entry'!N$29</f>
        <v/>
      </c>
      <c r="D26" s="102" t="str">
        <f>'Control Entry'!O$29</f>
        <v/>
      </c>
      <c r="E26" s="97"/>
      <c r="F26" s="98" t="str">
        <f>IF(ISBLANK('Control Entry'!H$29),"",'Control Entry'!H$29)</f>
        <v/>
      </c>
      <c r="G26" s="120" t="str">
        <f>IF(ISBLANK('Control Entry'!K$29),"",'Control Entry'!K$29)</f>
        <v/>
      </c>
      <c r="H26" s="121"/>
      <c r="I26" s="122"/>
      <c r="J26" s="99"/>
    </row>
    <row r="27" spans="2:15" ht="40" customHeight="1" x14ac:dyDescent="0.25">
      <c r="B27" s="89"/>
      <c r="C27" s="101" t="str">
        <f>'Control Entry'!N$30</f>
        <v/>
      </c>
      <c r="D27" s="101" t="str">
        <f>'Control Entry'!O$30</f>
        <v/>
      </c>
      <c r="E27" s="90"/>
      <c r="F27" s="91" t="str">
        <f>IF(ISBLANK('Control Entry'!F$30),"",'Control Entry'!F$30)</f>
        <v/>
      </c>
      <c r="G27" s="114" t="str">
        <f>IF(ISBLANK('Control Entry'!I$30),"",'Control Entry'!I$30)</f>
        <v/>
      </c>
      <c r="H27" s="115"/>
      <c r="I27" s="116"/>
      <c r="J27" s="92"/>
    </row>
    <row r="28" spans="2:15" ht="40" customHeight="1" x14ac:dyDescent="0.25">
      <c r="B28" s="93" t="str">
        <f>IF(ISBLANK('Control Entry'!D$30),"",'Control Entry'!D$30)</f>
        <v/>
      </c>
      <c r="C28" s="94" t="str">
        <f>'Control Entry'!N$30</f>
        <v/>
      </c>
      <c r="D28" s="94" t="str">
        <f>'Control Entry'!O$30</f>
        <v/>
      </c>
      <c r="E28" s="91" t="str">
        <f>IF(ISBLANK('Control Entry'!E$30),"",'Control Entry'!E$30)</f>
        <v/>
      </c>
      <c r="F28" s="91" t="str">
        <f>IF(ISBLANK('Control Entry'!G$30),"",'Control Entry'!G$30)</f>
        <v/>
      </c>
      <c r="G28" s="117" t="str">
        <f>IF(ISBLANK('Control Entry'!J$30),"",'Control Entry'!J$30)</f>
        <v/>
      </c>
      <c r="H28" s="118"/>
      <c r="I28" s="119"/>
      <c r="J28" s="95"/>
    </row>
    <row r="29" spans="2:15" ht="40" customHeight="1" thickBot="1" x14ac:dyDescent="0.3">
      <c r="B29" s="96"/>
      <c r="C29" s="102" t="str">
        <f>'Control Entry'!N$30</f>
        <v/>
      </c>
      <c r="D29" s="102" t="str">
        <f>'Control Entry'!O$30</f>
        <v/>
      </c>
      <c r="E29" s="97"/>
      <c r="F29" s="98" t="str">
        <f>IF(ISBLANK('Control Entry'!H$30),"",'Control Entry'!H$30)</f>
        <v/>
      </c>
      <c r="G29" s="120" t="str">
        <f>IF(ISBLANK('Control Entry'!K$30),"",'Control Entry'!K$30)</f>
        <v/>
      </c>
      <c r="H29" s="121"/>
      <c r="I29" s="122"/>
      <c r="J29" s="99"/>
    </row>
    <row r="30" spans="2:15" ht="40" customHeight="1" x14ac:dyDescent="0.25">
      <c r="B30" s="89"/>
      <c r="C30" s="101" t="str">
        <f>'Control Entry'!N$31</f>
        <v/>
      </c>
      <c r="D30" s="101" t="str">
        <f>'Control Entry'!O$31</f>
        <v/>
      </c>
      <c r="E30" s="90"/>
      <c r="F30" s="91" t="str">
        <f>IF(ISBLANK('Control Entry'!F$31),"",'Control Entry'!F$31)</f>
        <v/>
      </c>
      <c r="G30" s="114" t="str">
        <f>IF(ISBLANK('Control Entry'!I$31),"",'Control Entry'!I$31)</f>
        <v/>
      </c>
      <c r="H30" s="115"/>
      <c r="I30" s="116"/>
      <c r="J30" s="92"/>
    </row>
    <row r="31" spans="2:15" ht="40" customHeight="1" x14ac:dyDescent="0.25">
      <c r="B31" s="93" t="str">
        <f>IF(ISBLANK('Control Entry'!D$31),"",'Control Entry'!D$31)</f>
        <v/>
      </c>
      <c r="C31" s="94" t="str">
        <f>'Control Entry'!N$31</f>
        <v/>
      </c>
      <c r="D31" s="94" t="str">
        <f>'Control Entry'!O$31</f>
        <v/>
      </c>
      <c r="E31" s="91" t="str">
        <f>IF(ISBLANK('Control Entry'!E$31),"",'Control Entry'!E$31)</f>
        <v/>
      </c>
      <c r="F31" s="91" t="str">
        <f>IF(ISBLANK('Control Entry'!G$31),"",'Control Entry'!G$31)</f>
        <v/>
      </c>
      <c r="G31" s="117" t="str">
        <f>IF(ISBLANK('Control Entry'!J$31),"",'Control Entry'!J$31)</f>
        <v/>
      </c>
      <c r="H31" s="118"/>
      <c r="I31" s="119"/>
      <c r="J31" s="95"/>
    </row>
    <row r="32" spans="2:15" ht="40" customHeight="1" thickBot="1" x14ac:dyDescent="0.3">
      <c r="B32" s="96"/>
      <c r="C32" s="102" t="str">
        <f>'Control Entry'!N$31</f>
        <v/>
      </c>
      <c r="D32" s="102" t="str">
        <f>'Control Entry'!O$31</f>
        <v/>
      </c>
      <c r="E32" s="97"/>
      <c r="F32" s="98" t="str">
        <f>IF(ISBLANK('Control Entry'!H$31),"",'Control Entry'!H$31)</f>
        <v/>
      </c>
      <c r="G32" s="120" t="str">
        <f>IF(ISBLANK('Control Entry'!K$31),"",'Control Entry'!K$31)</f>
        <v/>
      </c>
      <c r="H32" s="121"/>
      <c r="I32" s="122"/>
      <c r="J32" s="99"/>
    </row>
    <row r="33" spans="2:10" ht="40" customHeight="1" x14ac:dyDescent="0.25">
      <c r="B33" s="89"/>
      <c r="C33" s="101" t="str">
        <f>'Control Entry'!N$32</f>
        <v/>
      </c>
      <c r="D33" s="101" t="str">
        <f>'Control Entry'!O$32</f>
        <v/>
      </c>
      <c r="E33" s="90"/>
      <c r="F33" s="91" t="str">
        <f>IF(ISBLANK('Control Entry'!F$32),"",'Control Entry'!F$32)</f>
        <v/>
      </c>
      <c r="G33" s="114" t="str">
        <f>IF(ISBLANK('Control Entry'!I$32),"",'Control Entry'!I$32)</f>
        <v/>
      </c>
      <c r="H33" s="115"/>
      <c r="I33" s="116"/>
      <c r="J33" s="92"/>
    </row>
    <row r="34" spans="2:10" ht="40" customHeight="1" x14ac:dyDescent="0.25">
      <c r="B34" s="93" t="str">
        <f>IF(ISBLANK('Control Entry'!D$32),"",'Control Entry'!D$32)</f>
        <v/>
      </c>
      <c r="C34" s="94" t="str">
        <f>'Control Entry'!N$32</f>
        <v/>
      </c>
      <c r="D34" s="94" t="str">
        <f>'Control Entry'!O$32</f>
        <v/>
      </c>
      <c r="E34" s="91" t="str">
        <f>IF(ISBLANK('Control Entry'!E$32),"",'Control Entry'!E$32)</f>
        <v/>
      </c>
      <c r="F34" s="91" t="str">
        <f>IF(ISBLANK('Control Entry'!G$32),"",'Control Entry'!G$32)</f>
        <v/>
      </c>
      <c r="G34" s="117" t="str">
        <f>IF(ISBLANK('Control Entry'!J$32),"",'Control Entry'!J$32)</f>
        <v/>
      </c>
      <c r="H34" s="118"/>
      <c r="I34" s="119"/>
      <c r="J34" s="95"/>
    </row>
    <row r="35" spans="2:10" ht="40" customHeight="1" thickBot="1" x14ac:dyDescent="0.3">
      <c r="B35" s="96"/>
      <c r="C35" s="102" t="str">
        <f>'Control Entry'!N$32</f>
        <v/>
      </c>
      <c r="D35" s="102" t="str">
        <f>'Control Entry'!O$32</f>
        <v/>
      </c>
      <c r="E35" s="97"/>
      <c r="F35" s="98" t="str">
        <f>IF(ISBLANK('Control Entry'!H$32),"",'Control Entry'!H$32)</f>
        <v/>
      </c>
      <c r="G35" s="120" t="str">
        <f>IF(ISBLANK('Control Entry'!K$32),"",'Control Entry'!K$32)</f>
        <v/>
      </c>
      <c r="H35" s="121"/>
      <c r="I35" s="122"/>
      <c r="J35" s="99"/>
    </row>
    <row r="36" spans="2:10" ht="40" customHeight="1" x14ac:dyDescent="0.25">
      <c r="B36" s="89"/>
      <c r="C36" s="101" t="str">
        <f>'Control Entry'!N$33</f>
        <v/>
      </c>
      <c r="D36" s="101" t="str">
        <f>'Control Entry'!O$33</f>
        <v/>
      </c>
      <c r="E36" s="90"/>
      <c r="F36" s="91" t="str">
        <f>IF(ISBLANK('Control Entry'!F$33),"",'Control Entry'!F$33)</f>
        <v/>
      </c>
      <c r="G36" s="114" t="str">
        <f>IF(ISBLANK('Control Entry'!I$33),"",'Control Entry'!I$33)</f>
        <v/>
      </c>
      <c r="H36" s="115"/>
      <c r="I36" s="116"/>
      <c r="J36" s="92"/>
    </row>
    <row r="37" spans="2:10" ht="40" customHeight="1" x14ac:dyDescent="0.25">
      <c r="B37" s="93" t="str">
        <f>IF(ISBLANK('Control Entry'!D$33),"",'Control Entry'!D$33)</f>
        <v/>
      </c>
      <c r="C37" s="94" t="str">
        <f>'Control Entry'!N$33</f>
        <v/>
      </c>
      <c r="D37" s="94" t="str">
        <f>'Control Entry'!O$33</f>
        <v/>
      </c>
      <c r="E37" s="91" t="str">
        <f>IF(ISBLANK('Control Entry'!E$33),"",'Control Entry'!E$33)</f>
        <v/>
      </c>
      <c r="F37" s="91" t="str">
        <f>IF(ISBLANK('Control Entry'!G$33),"",'Control Entry'!G$33)</f>
        <v/>
      </c>
      <c r="G37" s="117" t="str">
        <f>IF(ISBLANK('Control Entry'!J$33),"",'Control Entry'!J$33)</f>
        <v/>
      </c>
      <c r="H37" s="118"/>
      <c r="I37" s="119"/>
      <c r="J37" s="95"/>
    </row>
    <row r="38" spans="2:10" ht="40" customHeight="1" thickBot="1" x14ac:dyDescent="0.3">
      <c r="B38" s="96"/>
      <c r="C38" s="102" t="str">
        <f>'Control Entry'!N$33</f>
        <v/>
      </c>
      <c r="D38" s="102" t="str">
        <f>'Control Entry'!O$33</f>
        <v/>
      </c>
      <c r="E38" s="97"/>
      <c r="F38" s="98" t="str">
        <f>IF(ISBLANK('Control Entry'!H$33),"",'Control Entry'!H$33)</f>
        <v/>
      </c>
      <c r="G38" s="120" t="str">
        <f>IF(ISBLANK('Control Entry'!K$33),"",'Control Entry'!K$33)</f>
        <v/>
      </c>
      <c r="H38" s="121"/>
      <c r="I38" s="122"/>
      <c r="J38" s="99"/>
    </row>
    <row r="39" spans="2:10" ht="40" customHeight="1" x14ac:dyDescent="0.25">
      <c r="B39" s="89"/>
      <c r="C39" s="101" t="str">
        <f>'Control Entry'!N$34</f>
        <v/>
      </c>
      <c r="D39" s="101" t="str">
        <f>'Control Entry'!O$34</f>
        <v/>
      </c>
      <c r="E39" s="90"/>
      <c r="F39" s="91" t="str">
        <f>IF(ISBLANK('Control Entry'!F$34),"",'Control Entry'!F$34)</f>
        <v/>
      </c>
      <c r="G39" s="114" t="str">
        <f>IF(ISBLANK('Control Entry'!I$34),"",'Control Entry'!I$34)</f>
        <v/>
      </c>
      <c r="H39" s="115"/>
      <c r="I39" s="116"/>
      <c r="J39" s="92"/>
    </row>
    <row r="40" spans="2:10" ht="40" customHeight="1" x14ac:dyDescent="0.25">
      <c r="B40" s="93" t="str">
        <f>IF(ISBLANK('Control Entry'!D$34),"",'Control Entry'!D$34)</f>
        <v/>
      </c>
      <c r="C40" s="94" t="str">
        <f>'Control Entry'!N$34</f>
        <v/>
      </c>
      <c r="D40" s="94" t="str">
        <f>'Control Entry'!O$34</f>
        <v/>
      </c>
      <c r="E40" s="91" t="str">
        <f>IF(ISBLANK('Control Entry'!E$34),"",'Control Entry'!E$34)</f>
        <v/>
      </c>
      <c r="F40" s="91" t="str">
        <f>IF(ISBLANK('Control Entry'!G$34),"",'Control Entry'!G$34)</f>
        <v/>
      </c>
      <c r="G40" s="117" t="str">
        <f>IF(ISBLANK('Control Entry'!J$34),"",'Control Entry'!J$34)</f>
        <v/>
      </c>
      <c r="H40" s="118"/>
      <c r="I40" s="119"/>
      <c r="J40" s="95"/>
    </row>
    <row r="41" spans="2:10" ht="40" customHeight="1" thickBot="1" x14ac:dyDescent="0.3">
      <c r="B41" s="96"/>
      <c r="C41" s="102" t="str">
        <f>'Control Entry'!N$34</f>
        <v/>
      </c>
      <c r="D41" s="102" t="str">
        <f>'Control Entry'!O$34</f>
        <v/>
      </c>
      <c r="E41" s="97"/>
      <c r="F41" s="98" t="str">
        <f>IF(ISBLANK('Control Entry'!H$34),"",'Control Entry'!H$34)</f>
        <v/>
      </c>
      <c r="G41" s="120" t="str">
        <f>IF(ISBLANK('Control Entry'!K$34),"",'Control Entry'!K$34)</f>
        <v/>
      </c>
      <c r="H41" s="121"/>
      <c r="I41" s="122"/>
      <c r="J41" s="99"/>
    </row>
    <row r="42" spans="2:10" ht="40" customHeight="1" x14ac:dyDescent="0.25">
      <c r="B42" s="89"/>
      <c r="C42" s="101" t="str">
        <f>'Control Entry'!N$35</f>
        <v/>
      </c>
      <c r="D42" s="101" t="str">
        <f>'Control Entry'!O$35</f>
        <v/>
      </c>
      <c r="E42" s="90"/>
      <c r="F42" s="91" t="str">
        <f>IF(ISBLANK('Control Entry'!F$35),"",'Control Entry'!F$35)</f>
        <v/>
      </c>
      <c r="G42" s="114" t="str">
        <f>IF(ISBLANK('Control Entry'!I$35),"",'Control Entry'!I$35)</f>
        <v/>
      </c>
      <c r="H42" s="115"/>
      <c r="I42" s="116"/>
      <c r="J42" s="92"/>
    </row>
    <row r="43" spans="2:10" ht="40" customHeight="1" x14ac:dyDescent="0.25">
      <c r="B43" s="93" t="str">
        <f>IF(ISBLANK('Control Entry'!D$35),"",'Control Entry'!D$35)</f>
        <v/>
      </c>
      <c r="C43" s="94" t="str">
        <f>'Control Entry'!N$35</f>
        <v/>
      </c>
      <c r="D43" s="94" t="str">
        <f>'Control Entry'!O$35</f>
        <v/>
      </c>
      <c r="E43" s="91" t="str">
        <f>IF(ISBLANK('Control Entry'!E$35),"",'Control Entry'!E$35)</f>
        <v/>
      </c>
      <c r="F43" s="91" t="str">
        <f>IF(ISBLANK('Control Entry'!G$35),"",'Control Entry'!G$35)</f>
        <v/>
      </c>
      <c r="G43" s="117" t="str">
        <f>IF(ISBLANK('Control Entry'!J$35),"",'Control Entry'!J$35)</f>
        <v/>
      </c>
      <c r="H43" s="118"/>
      <c r="I43" s="119"/>
      <c r="J43" s="95"/>
    </row>
    <row r="44" spans="2:10" ht="40" customHeight="1" thickBot="1" x14ac:dyDescent="0.3">
      <c r="B44" s="96"/>
      <c r="C44" s="102" t="str">
        <f>'Control Entry'!N$35</f>
        <v/>
      </c>
      <c r="D44" s="102" t="str">
        <f>'Control Entry'!O$35</f>
        <v/>
      </c>
      <c r="E44" s="97"/>
      <c r="F44" s="98" t="str">
        <f>IF(ISBLANK('Control Entry'!H$35),"",'Control Entry'!H$35)</f>
        <v/>
      </c>
      <c r="G44" s="120" t="str">
        <f>IF(ISBLANK('Control Entry'!K$35),"",'Control Entry'!K$35)</f>
        <v/>
      </c>
      <c r="H44" s="121"/>
      <c r="I44" s="122"/>
      <c r="J44" s="99"/>
    </row>
    <row r="45" spans="2:10" ht="40" customHeight="1" x14ac:dyDescent="0.25">
      <c r="B45" s="89"/>
      <c r="C45" s="101" t="str">
        <f>'Control Entry'!N$36</f>
        <v/>
      </c>
      <c r="D45" s="101" t="str">
        <f>'Control Entry'!O$36</f>
        <v/>
      </c>
      <c r="E45" s="90"/>
      <c r="F45" s="91" t="str">
        <f>IF(ISBLANK('Control Entry'!F$36),"",'Control Entry'!F$36)</f>
        <v/>
      </c>
      <c r="G45" s="114" t="str">
        <f>IF(ISBLANK('Control Entry'!I$36),"",'Control Entry'!I$36)</f>
        <v/>
      </c>
      <c r="H45" s="115"/>
      <c r="I45" s="116"/>
      <c r="J45" s="92"/>
    </row>
    <row r="46" spans="2:10" ht="40" customHeight="1" x14ac:dyDescent="0.25">
      <c r="B46" s="93" t="str">
        <f>IF(ISBLANK('Control Entry'!D$36),"",'Control Entry'!D$36)</f>
        <v/>
      </c>
      <c r="C46" s="94" t="str">
        <f>'Control Entry'!N$36</f>
        <v/>
      </c>
      <c r="D46" s="94" t="str">
        <f>'Control Entry'!O$36</f>
        <v/>
      </c>
      <c r="E46" s="91" t="str">
        <f>IF(ISBLANK('Control Entry'!E$36),"",'Control Entry'!E$36)</f>
        <v/>
      </c>
      <c r="F46" s="91" t="str">
        <f>IF(ISBLANK('Control Entry'!G$36),"",'Control Entry'!G$36)</f>
        <v/>
      </c>
      <c r="G46" s="117" t="str">
        <f>IF(ISBLANK('Control Entry'!J$36),"",'Control Entry'!J$36)</f>
        <v/>
      </c>
      <c r="H46" s="118"/>
      <c r="I46" s="119"/>
      <c r="J46" s="95"/>
    </row>
    <row r="47" spans="2:10" ht="40" customHeight="1" thickBot="1" x14ac:dyDescent="0.3">
      <c r="B47" s="96"/>
      <c r="C47" s="102" t="str">
        <f>'Control Entry'!N$36</f>
        <v/>
      </c>
      <c r="D47" s="102" t="str">
        <f>'Control Entry'!O$36</f>
        <v/>
      </c>
      <c r="E47" s="97"/>
      <c r="F47" s="98" t="str">
        <f>IF(ISBLANK('Control Entry'!H$36),"",'Control Entry'!H$36)</f>
        <v/>
      </c>
      <c r="G47" s="120" t="str">
        <f>IF(ISBLANK('Control Entry'!K$36),"",'Control Entry'!K$36)</f>
        <v/>
      </c>
      <c r="H47" s="121"/>
      <c r="I47" s="122"/>
      <c r="J47" s="99"/>
    </row>
    <row r="48" spans="2:10" ht="40" customHeight="1" x14ac:dyDescent="0.25">
      <c r="B48" s="89"/>
      <c r="C48" s="101" t="str">
        <f>'Control Entry'!N$37</f>
        <v/>
      </c>
      <c r="D48" s="101" t="str">
        <f>'Control Entry'!O$37</f>
        <v/>
      </c>
      <c r="E48" s="90"/>
      <c r="F48" s="91" t="str">
        <f>IF(ISBLANK('Control Entry'!F$37),"",'Control Entry'!F$37)</f>
        <v/>
      </c>
      <c r="G48" s="114" t="str">
        <f>IF(ISBLANK('Control Entry'!I$37),"",'Control Entry'!I$37)</f>
        <v/>
      </c>
      <c r="H48" s="115"/>
      <c r="I48" s="116"/>
      <c r="J48" s="92"/>
    </row>
    <row r="49" spans="2:11" ht="40" customHeight="1" x14ac:dyDescent="0.25">
      <c r="B49" s="93" t="str">
        <f>IF(ISBLANK('Control Entry'!D$37),"",'Control Entry'!D$37)</f>
        <v/>
      </c>
      <c r="C49" s="94" t="str">
        <f>'Control Entry'!N$37</f>
        <v/>
      </c>
      <c r="D49" s="94" t="str">
        <f>'Control Entry'!O$37</f>
        <v/>
      </c>
      <c r="E49" s="91" t="str">
        <f>IF(ISBLANK('Control Entry'!E$37),"",'Control Entry'!E$37)</f>
        <v/>
      </c>
      <c r="F49" s="91" t="str">
        <f>IF(ISBLANK('Control Entry'!G$37),"",'Control Entry'!G$37)</f>
        <v/>
      </c>
      <c r="G49" s="117" t="str">
        <f>IF(ISBLANK('Control Entry'!J$37),"",'Control Entry'!J$37)</f>
        <v/>
      </c>
      <c r="H49" s="118"/>
      <c r="I49" s="119"/>
      <c r="J49" s="95"/>
    </row>
    <row r="50" spans="2:11" ht="40" customHeight="1" thickBot="1" x14ac:dyDescent="0.3">
      <c r="B50" s="96"/>
      <c r="C50" s="102" t="str">
        <f>'Control Entry'!N$37</f>
        <v/>
      </c>
      <c r="D50" s="102" t="str">
        <f>'Control Entry'!O$37</f>
        <v/>
      </c>
      <c r="E50" s="97"/>
      <c r="F50" s="98" t="str">
        <f>IF(ISBLANK('Control Entry'!H$37),"",'Control Entry'!H$37)</f>
        <v/>
      </c>
      <c r="G50" s="120" t="str">
        <f>IF(ISBLANK('Control Entry'!K$37),"",'Control Entry'!K$37)</f>
        <v/>
      </c>
      <c r="H50" s="121"/>
      <c r="I50" s="122"/>
      <c r="J50" s="99"/>
    </row>
    <row r="52" spans="2:11" ht="24" customHeight="1" x14ac:dyDescent="0.15">
      <c r="B52" s="123" t="s">
        <v>30</v>
      </c>
      <c r="C52" s="123"/>
      <c r="D52" s="123"/>
      <c r="E52" s="123"/>
      <c r="F52" s="123"/>
      <c r="I52" s="58" t="s">
        <v>56</v>
      </c>
      <c r="J52" s="81" t="str">
        <f>IF(ISBLANK('Control Entry'!F10),"",'Control Entry'!F10)</f>
        <v>‭+1 (250) 792-3126‬</v>
      </c>
      <c r="K52" s="54"/>
    </row>
    <row r="54" spans="2:11" x14ac:dyDescent="0.15">
      <c r="B54" s="76" t="s">
        <v>59</v>
      </c>
      <c r="C54" s="77">
        <f>'Control Entry'!B3</f>
        <v>45428</v>
      </c>
    </row>
    <row r="55" spans="2:11" ht="23" x14ac:dyDescent="0.15">
      <c r="B55" s="58"/>
      <c r="C55" s="58"/>
      <c r="D55" s="58"/>
      <c r="E55" s="58"/>
      <c r="F55" s="54"/>
      <c r="G55" s="60"/>
      <c r="H55" s="60"/>
      <c r="I55" s="60"/>
      <c r="J55" s="54"/>
    </row>
    <row r="56" spans="2:11" x14ac:dyDescent="0.15">
      <c r="E56" s="1"/>
    </row>
    <row r="57" spans="2:11" x14ac:dyDescent="0.15">
      <c r="B57" s="56"/>
      <c r="C57" s="57"/>
      <c r="D57" s="57"/>
      <c r="E57" s="57"/>
      <c r="F57" s="112"/>
      <c r="G57" s="113"/>
      <c r="H57" s="113"/>
      <c r="I57" s="113"/>
      <c r="J57" s="113"/>
    </row>
  </sheetData>
  <mergeCells count="50">
    <mergeCell ref="B52:F52"/>
    <mergeCell ref="F57:J57"/>
    <mergeCell ref="G45:I45"/>
    <mergeCell ref="G46:I46"/>
    <mergeCell ref="G47:I47"/>
    <mergeCell ref="G48:I48"/>
    <mergeCell ref="G49:I49"/>
    <mergeCell ref="G50:I50"/>
    <mergeCell ref="G44:I44"/>
    <mergeCell ref="G33:I33"/>
    <mergeCell ref="G34:I34"/>
    <mergeCell ref="G35:I35"/>
    <mergeCell ref="G36:I36"/>
    <mergeCell ref="G37:I37"/>
    <mergeCell ref="G38:I38"/>
    <mergeCell ref="G39:I39"/>
    <mergeCell ref="G40:I40"/>
    <mergeCell ref="G41:I41"/>
    <mergeCell ref="G42:I42"/>
    <mergeCell ref="G43:I43"/>
    <mergeCell ref="G32:I32"/>
    <mergeCell ref="G21:I21"/>
    <mergeCell ref="G22:I22"/>
    <mergeCell ref="G23:I23"/>
    <mergeCell ref="G24:I24"/>
    <mergeCell ref="G25:I25"/>
    <mergeCell ref="G26:I26"/>
    <mergeCell ref="G27:I27"/>
    <mergeCell ref="G28:I28"/>
    <mergeCell ref="G29:I29"/>
    <mergeCell ref="G30:I30"/>
    <mergeCell ref="G31:I31"/>
    <mergeCell ref="G20:I20"/>
    <mergeCell ref="B10:C10"/>
    <mergeCell ref="E10:G10"/>
    <mergeCell ref="L10:M10"/>
    <mergeCell ref="N10:O10"/>
    <mergeCell ref="D12:E12"/>
    <mergeCell ref="D14:E14"/>
    <mergeCell ref="C17:F17"/>
    <mergeCell ref="I17:J17"/>
    <mergeCell ref="L17:M17"/>
    <mergeCell ref="N17:O17"/>
    <mergeCell ref="B19:J19"/>
    <mergeCell ref="C2:F2"/>
    <mergeCell ref="E3:H3"/>
    <mergeCell ref="E4:H4"/>
    <mergeCell ref="E5:H6"/>
    <mergeCell ref="C7:F8"/>
    <mergeCell ref="H7:H8"/>
  </mergeCells>
  <printOptions horizontalCentered="1" verticalCentered="1"/>
  <pageMargins left="0.39370078740157483" right="0.39370078740157483" top="0.39370078740157483" bottom="0.39370078740157483" header="0.15748031496062992" footer="0.15748031496062992"/>
  <pageSetup scale="37"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28</vt:i4>
      </vt:variant>
    </vt:vector>
  </HeadingPairs>
  <TitlesOfParts>
    <vt:vector size="31" baseType="lpstr">
      <vt:lpstr>Control Entry</vt:lpstr>
      <vt:lpstr>Card #1</vt:lpstr>
      <vt:lpstr>Card #2</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'Card #1'!Print_Area</vt:lpstr>
      <vt:lpstr>'Card #2'!Print_Area</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Stephen Hinde</cp:lastModifiedBy>
  <cp:lastPrinted>2023-08-24T23:38:36Z</cp:lastPrinted>
  <dcterms:created xsi:type="dcterms:W3CDTF">1997-11-12T04:43:39Z</dcterms:created>
  <dcterms:modified xsi:type="dcterms:W3CDTF">2024-08-13T02:07:28Z</dcterms:modified>
</cp:coreProperties>
</file>