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purl.oclc.org/ooxml/officeDocument/relationships/extendedProperties" Target="docProps/app.xml"/><Relationship Id="rId2" Type="http://schemas.openxmlformats.org/package/2006/relationships/metadata/core-properties" Target="docProps/core.xml"/><Relationship Id="rId1" Type="http://purl.oclc.org/ooxml/officeDocument/relationships/officeDocument" Target="xl/workbook.xml"/></Relationships>
</file>

<file path=xl/workbook.xml><?xml version="1.0" encoding="utf-8"?>
<workbook xmlns="http://purl.oclc.org/ooxml/spreadsheetml/main" xmlns:r="http://purl.oclc.org/ooxml/officeDocument/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conformance="strict">
  <fileVersion appName="xl" lastEdited="7" lowestEdited="4" rupBuild="11012"/>
  <workbookPr dateCompatibility="0" showInkAnnotation="0" autoCompressPictures="0"/>
  <mc:AlternateContent xmlns:mc="http://schemas.openxmlformats.org/markup-compatibility/2006">
    <mc:Choice Requires="x15">
      <x15ac:absPath xmlns:x15ac="http://schemas.microsoft.com/office/spreadsheetml/2010/11/ac" url="/Users/stephencarol/Documents/BCR/2023/5276 CCE/"/>
    </mc:Choice>
  </mc:AlternateContent>
  <xr:revisionPtr revIDLastSave="0" documentId="13_ncr:9_{842A0E18-C4A9-E740-AAAA-AF62205D9078}" xr6:coauthVersionLast="36" xr6:coauthVersionMax="36" xr10:uidLastSave="{00000000-0000-0000-0000-000000000000}"/>
  <bookViews>
    <workbookView xWindow="2940" yWindow="500" windowWidth="22660" windowHeight="15500" tabRatio="509" xr2:uid="{00000000-000D-0000-FFFF-FFFF00000000}"/>
  </bookViews>
  <sheets>
    <sheet name="Control Entry" sheetId="1" r:id="rId1"/>
    <sheet name="Control Card #1" sheetId="2" r:id="rId2"/>
    <sheet name="Control Card #2" sheetId="3" r:id="rId3"/>
    <sheet name="Control Card #3" sheetId="4" r:id="rId4"/>
    <sheet name="Control Card #4" sheetId="5" r:id="rId5"/>
  </sheets>
  <definedNames>
    <definedName name="Address_1" localSheetId="2">#REF!</definedName>
    <definedName name="Address_1" localSheetId="3">#REF!</definedName>
    <definedName name="Address_1" localSheetId="4">#REF!</definedName>
    <definedName name="Address_1">#REF!</definedName>
    <definedName name="Address_2" localSheetId="2">#REF!</definedName>
    <definedName name="Address_2" localSheetId="3">#REF!</definedName>
    <definedName name="Address_2" localSheetId="4">#REF!</definedName>
    <definedName name="Address_2">#REF!</definedName>
    <definedName name="brevet">'Control Entry'!$C$6</definedName>
    <definedName name="Brevet_Description">'Control Entry'!$B$8</definedName>
    <definedName name="Brevet_Length">'Control Entry'!$B$6</definedName>
    <definedName name="Brevet_Number">'Control Entry'!$B$9</definedName>
    <definedName name="City" localSheetId="2">#REF!</definedName>
    <definedName name="City" localSheetId="3">#REF!</definedName>
    <definedName name="City" localSheetId="4">#REF!</definedName>
    <definedName name="City">#REF!</definedName>
    <definedName name="Close">'Control Entry'!$M$15:$M$24</definedName>
    <definedName name="Close_time">'Control Entry'!$O$15:$O$24</definedName>
    <definedName name="Control_1">'Control Entry'!$D$15:$O$15</definedName>
    <definedName name="Control_10">'Control Entry'!$D$24:$O$24</definedName>
    <definedName name="Control_11" localSheetId="2">'Control Entry'!#REF!</definedName>
    <definedName name="Control_11" localSheetId="3">'Control Entry'!#REF!</definedName>
    <definedName name="Control_11" localSheetId="4">'Control Entry'!#REF!</definedName>
    <definedName name="Control_11">'Control Entry'!#REF!</definedName>
    <definedName name="Control_12" localSheetId="2">'Control Entry'!#REF!</definedName>
    <definedName name="Control_12" localSheetId="3">'Control Entry'!#REF!</definedName>
    <definedName name="Control_12" localSheetId="4">'Control Entry'!#REF!</definedName>
    <definedName name="Control_12">'Control Entry'!#REF!</definedName>
    <definedName name="Control_13" localSheetId="2">'Control Entry'!#REF!</definedName>
    <definedName name="Control_13" localSheetId="3">'Control Entry'!#REF!</definedName>
    <definedName name="Control_13" localSheetId="4">'Control Entry'!#REF!</definedName>
    <definedName name="Control_13">'Control Entry'!#REF!</definedName>
    <definedName name="Control_14" localSheetId="2">'Control Entry'!#REF!</definedName>
    <definedName name="Control_14" localSheetId="3">'Control Entry'!#REF!</definedName>
    <definedName name="Control_14" localSheetId="4">'Control Entry'!#REF!</definedName>
    <definedName name="Control_14">'Control Entry'!#REF!</definedName>
    <definedName name="Control_15" localSheetId="2">'Control Entry'!#REF!</definedName>
    <definedName name="Control_15" localSheetId="3">'Control Entry'!#REF!</definedName>
    <definedName name="Control_15" localSheetId="4">'Control Entry'!#REF!</definedName>
    <definedName name="Control_15">'Control Entry'!#REF!</definedName>
    <definedName name="Control_16" localSheetId="2">'Control Entry'!#REF!</definedName>
    <definedName name="Control_16" localSheetId="3">'Control Entry'!#REF!</definedName>
    <definedName name="Control_16" localSheetId="4">'Control Entry'!#REF!</definedName>
    <definedName name="Control_16">'Control Entry'!#REF!</definedName>
    <definedName name="Control_17" localSheetId="2">'Control Entry'!#REF!</definedName>
    <definedName name="Control_17" localSheetId="3">'Control Entry'!#REF!</definedName>
    <definedName name="Control_17" localSheetId="4">'Control Entry'!#REF!</definedName>
    <definedName name="Control_17">'Control Entry'!#REF!</definedName>
    <definedName name="Control_18" localSheetId="2">'Control Entry'!#REF!</definedName>
    <definedName name="Control_18" localSheetId="3">'Control Entry'!#REF!</definedName>
    <definedName name="Control_18" localSheetId="4">'Control Entry'!#REF!</definedName>
    <definedName name="Control_18">'Control Entry'!#REF!</definedName>
    <definedName name="Control_19" localSheetId="2">'Control Entry'!#REF!</definedName>
    <definedName name="Control_19" localSheetId="3">'Control Entry'!#REF!</definedName>
    <definedName name="Control_19" localSheetId="4">'Control Entry'!#REF!</definedName>
    <definedName name="Control_19">'Control Entry'!#REF!</definedName>
    <definedName name="Control_2">'Control Entry'!$D$16:$O$16</definedName>
    <definedName name="Control_20" localSheetId="2">'Control Entry'!#REF!</definedName>
    <definedName name="Control_20" localSheetId="3">'Control Entry'!#REF!</definedName>
    <definedName name="Control_20" localSheetId="4">'Control Entry'!#REF!</definedName>
    <definedName name="Control_20">'Control Entry'!#REF!</definedName>
    <definedName name="Control_3">'Control Entry'!$D$17:$O$17</definedName>
    <definedName name="Control_4">'Control Entry'!$D$18:$O$18</definedName>
    <definedName name="Control_5">'Control Entry'!$D$19:$O$19</definedName>
    <definedName name="Control_6">'Control Entry'!$D$20:$O$20</definedName>
    <definedName name="Control_7">'Control Entry'!$D$21:$O$21</definedName>
    <definedName name="Control_8">'Control Entry'!$D$22:$O$22</definedName>
    <definedName name="Control_9">'Control Entry'!$D$23:$O$23</definedName>
    <definedName name="Country" localSheetId="2">#REF!</definedName>
    <definedName name="Country" localSheetId="3">#REF!</definedName>
    <definedName name="Country" localSheetId="4">#REF!</definedName>
    <definedName name="Country">#REF!</definedName>
    <definedName name="Distance">'Control Entry'!$D$15:$D$24</definedName>
    <definedName name="email" localSheetId="2">#REF!</definedName>
    <definedName name="email" localSheetId="3">#REF!</definedName>
    <definedName name="email" localSheetId="4">#REF!</definedName>
    <definedName name="email">#REF!</definedName>
    <definedName name="Establishment_1">'Control Entry'!$F$15:$F$24</definedName>
    <definedName name="Establishment_2">'Control Entry'!$G$15:$G$24</definedName>
    <definedName name="Establishment_3">'Control Entry'!$H$15:$H$24</definedName>
    <definedName name="Fax" localSheetId="2">#REF!</definedName>
    <definedName name="Fax" localSheetId="3">#REF!</definedName>
    <definedName name="Fax" localSheetId="4">#REF!</definedName>
    <definedName name="Fax">#REF!</definedName>
    <definedName name="First_Name" localSheetId="2">#REF!</definedName>
    <definedName name="First_Name" localSheetId="3">#REF!</definedName>
    <definedName name="First_Name" localSheetId="4">#REF!</definedName>
    <definedName name="First_Name">#REF!</definedName>
    <definedName name="Home_telephone" localSheetId="2">#REF!</definedName>
    <definedName name="Home_telephone" localSheetId="3">#REF!</definedName>
    <definedName name="Home_telephone" localSheetId="4">#REF!</definedName>
    <definedName name="Home_telephone">#REF!</definedName>
    <definedName name="HTML_CodePage" hidden="1">1252</definedName>
    <definedName name="HTML_Control" hidden="1">{"'Web sheet'!$A$1:$D$92"}</definedName>
    <definedName name="HTML_Description" hidden="1">""</definedName>
    <definedName name="HTML_Email" hidden="1">"randos@island.net"</definedName>
    <definedName name="HTML_Header" hidden="1">"Web sheet"</definedName>
    <definedName name="HTML_LastUpdate" hidden="1">"99-03-06"</definedName>
    <definedName name="HTML_LineAfter" hidden="1">TRUE</definedName>
    <definedName name="HTML_LineBefore" hidden="1">TRUE</definedName>
    <definedName name="HTML_Name" hidden="1">"Stephen Hinde"</definedName>
    <definedName name="HTML_OBDlg2" hidden="1">TRUE</definedName>
    <definedName name="HTML_OBDlg4" hidden="1">TRUE</definedName>
    <definedName name="HTML_OS" hidden="1">0</definedName>
    <definedName name="HTML_PathFile" hidden="1">"C:\My Documents\excel\MyHTML.htm"</definedName>
    <definedName name="HTML_Title" hidden="1">"VI0100B Nanaimo Populaire"</definedName>
    <definedName name="HTML1_1" hidden="1">"'[vi0100b.xls]VI0100B 970310'!$A$3:$D$22"</definedName>
    <definedName name="HTML1_10" hidden="1">"randos@island.net"</definedName>
    <definedName name="HTML1_11" hidden="1">1</definedName>
    <definedName name="HTML1_12" hidden="1">"C:\My Documents\Web Page\vi0100b.htm"</definedName>
    <definedName name="HTML1_2" hidden="1">1</definedName>
    <definedName name="HTML1_3" hidden="1">"100 km Populaire"</definedName>
    <definedName name="HTML1_4" hidden="1">"VI0100B 970310"</definedName>
    <definedName name="HTML1_5" hidden="1">"Nanaimo--Lantzville--Nanaimo--Yellow Point--Nanaimo"</definedName>
    <definedName name="HTML1_6" hidden="1">1</definedName>
    <definedName name="HTML1_7" hidden="1">1</definedName>
    <definedName name="HTML1_8" hidden="1">"26/10/97"</definedName>
    <definedName name="HTML1_9" hidden="1">"Stephen Hinde"</definedName>
    <definedName name="HTML2_1" hidden="1">"'[vi0100b.xls]VI0100B 970310'!$A$1:$D$22"</definedName>
    <definedName name="HTML2_10" hidden="1">"randos@island.net"</definedName>
    <definedName name="HTML2_11" hidden="1">1</definedName>
    <definedName name="HTML2_12" hidden="1">"C:\My Documents\Web Page\vi0100b.htm"</definedName>
    <definedName name="HTML2_2" hidden="1">1</definedName>
    <definedName name="HTML2_3" hidden="1">"100 km Populaire"</definedName>
    <definedName name="HTML2_4" hidden="1">"VI0100B 970310"</definedName>
    <definedName name="HTML2_5" hidden="1">"Nanaimo--Lantzville--Nanaimo--Yellow Point--Nanaimo"</definedName>
    <definedName name="HTML2_6" hidden="1">1</definedName>
    <definedName name="HTML2_7" hidden="1">1</definedName>
    <definedName name="HTML2_8" hidden="1">"26/10/97"</definedName>
    <definedName name="HTML2_9" hidden="1">"Stephen Hinde"</definedName>
    <definedName name="HTML3_1" hidden="1">"'[vi0100b.xls]VI0100B 970310'!$A$1:$D$24"</definedName>
    <definedName name="HTML3_10" hidden="1">"randos@island.net"</definedName>
    <definedName name="HTML3_11" hidden="1">1</definedName>
    <definedName name="HTML3_12" hidden="1">"C:\My Documents\excel\vi0100b.htm"</definedName>
    <definedName name="HTML3_2" hidden="1">1</definedName>
    <definedName name="HTML3_3" hidden="1">"Vancouver Island Populaire"</definedName>
    <definedName name="HTML3_4" hidden="1">"VI0100B 970310"</definedName>
    <definedName name="HTML3_5" hidden="1">"Nanaimo--Lantzville--Yellow Point--Nanaimo"</definedName>
    <definedName name="HTML3_6" hidden="1">1</definedName>
    <definedName name="HTML3_7" hidden="1">1</definedName>
    <definedName name="HTML3_8" hidden="1">"26/10/97"</definedName>
    <definedName name="HTML3_9" hidden="1">"Stephen Hinde"</definedName>
    <definedName name="HTML4_1" hidden="1">"'[VI0100B.xls]VI0100B 971026'!$A$1:$I$47"</definedName>
    <definedName name="HTML4_10" hidden="1">""</definedName>
    <definedName name="HTML4_11" hidden="1">1</definedName>
    <definedName name="HTML4_12" hidden="1">"C:\My Documents\Web Page\VI0100B.htm"</definedName>
    <definedName name="HTML4_2" hidden="1">1</definedName>
    <definedName name="HTML4_3" hidden="1">"VI0100B"</definedName>
    <definedName name="HTML4_4" hidden="1">"VI0100B 971026"</definedName>
    <definedName name="HTML4_5" hidden="1">""</definedName>
    <definedName name="HTML4_6" hidden="1">-4146</definedName>
    <definedName name="HTML4_7" hidden="1">-4146</definedName>
    <definedName name="HTML4_8" hidden="1">"26/10/97"</definedName>
    <definedName name="HTML4_9" hidden="1">"Stephen Hinde"</definedName>
    <definedName name="HTML5_1" hidden="1">"'[VI0100B.xls]VI0100B 971026'!$A$1:$I$23"</definedName>
    <definedName name="HTML5_10" hidden="1">""</definedName>
    <definedName name="HTML5_11" hidden="1">1</definedName>
    <definedName name="HTML5_12" hidden="1">"C:\My Documents\Web Page\VI0100B top.htm"</definedName>
    <definedName name="HTML5_2" hidden="1">1</definedName>
    <definedName name="HTML5_3" hidden="1">"VI0100B"</definedName>
    <definedName name="HTML5_4" hidden="1">"VI0100B 971026"</definedName>
    <definedName name="HTML5_5" hidden="1">""</definedName>
    <definedName name="HTML5_6" hidden="1">-4146</definedName>
    <definedName name="HTML5_7" hidden="1">-4146</definedName>
    <definedName name="HTML5_8" hidden="1">"97-10-26"</definedName>
    <definedName name="HTML5_9" hidden="1">"Stephen Hinde"</definedName>
    <definedName name="HTML6_1" hidden="1">"'[VI0100B.xls]VI0100B 971026'!$A$25:$I$47"</definedName>
    <definedName name="HTML6_10" hidden="1">""</definedName>
    <definedName name="HTML6_11" hidden="1">1</definedName>
    <definedName name="HTML6_12" hidden="1">"C:\My Documents\Web Page\VI0100B bottom"</definedName>
    <definedName name="HTML6_2" hidden="1">1</definedName>
    <definedName name="HTML6_3" hidden="1">"VI0100B"</definedName>
    <definedName name="HTML6_4" hidden="1">"VI0100B 971026"</definedName>
    <definedName name="HTML6_5" hidden="1">""</definedName>
    <definedName name="HTML6_6" hidden="1">-4146</definedName>
    <definedName name="HTML6_7" hidden="1">-4146</definedName>
    <definedName name="HTML6_8" hidden="1">"97-10-26"</definedName>
    <definedName name="HTML6_9" hidden="1">"Stephen Hinde"</definedName>
    <definedName name="HTML7_1" hidden="1">"'[VI0200A  Tour of Cowichan Valley.xls]Web sheet'!$A$1:$E$92"</definedName>
    <definedName name="HTML7_10" hidden="1">"randos@island.net"</definedName>
    <definedName name="HTML7_11" hidden="1">1</definedName>
    <definedName name="HTML7_12" hidden="1">"C:\My Documents\Web Page\200km_route_sheet.htm"</definedName>
    <definedName name="HTML7_2" hidden="1">1</definedName>
    <definedName name="HTML7_3" hidden="1">"VI0200A  Tour of Cowichan Valley"</definedName>
    <definedName name="HTML7_4" hidden="1">"Vancouver Island 200 km Brevet"</definedName>
    <definedName name="HTML7_5" hidden="1">""</definedName>
    <definedName name="HTML7_6" hidden="1">1</definedName>
    <definedName name="HTML7_7" hidden="1">1</definedName>
    <definedName name="HTML7_8" hidden="1">"97-11-23"</definedName>
    <definedName name="HTML7_9" hidden="1">"Stephen Hinde"</definedName>
    <definedName name="HTML8_1" hidden="1">"'[VI0300A  Duncan--Victoria.xls]Web sheet'!$A$1:$E$161"</definedName>
    <definedName name="HTML8_10" hidden="1">"randos@island.net"</definedName>
    <definedName name="HTML8_11" hidden="1">1</definedName>
    <definedName name="HTML8_12" hidden="1">"C:\My Documents\Web Page\300km_route_sheet_duncan.htm"</definedName>
    <definedName name="HTML8_2" hidden="1">1</definedName>
    <definedName name="HTML8_3" hidden="1">"VI0300A  Duncan--Victoria"</definedName>
    <definedName name="HTML8_4" hidden="1">"Web sheet"</definedName>
    <definedName name="HTML8_5" hidden="1">""</definedName>
    <definedName name="HTML8_6" hidden="1">1</definedName>
    <definedName name="HTML8_7" hidden="1">1</definedName>
    <definedName name="HTML8_8" hidden="1">"98-01-25"</definedName>
    <definedName name="HTML8_9" hidden="1">"Stephen Hinde"</definedName>
    <definedName name="HTMLCount" hidden="1">8</definedName>
    <definedName name="Initial" localSheetId="2">#REF!</definedName>
    <definedName name="Initial" localSheetId="3">#REF!</definedName>
    <definedName name="Initial" localSheetId="4">#REF!</definedName>
    <definedName name="Initial">#REF!</definedName>
    <definedName name="Locale">'Control Entry'!$E$15:$E$24</definedName>
    <definedName name="Max_time">'Control Entry'!$B$7</definedName>
    <definedName name="Open">'Control Entry'!$L$15:$L$24</definedName>
    <definedName name="Open_time">'Control Entry'!$N$15:$N$24</definedName>
    <definedName name="Postal_Code" localSheetId="2">#REF!</definedName>
    <definedName name="Postal_Code" localSheetId="3">#REF!</definedName>
    <definedName name="Postal_Code" localSheetId="4">#REF!</definedName>
    <definedName name="Postal_Code">#REF!</definedName>
    <definedName name="_xlnm.Print_Titles" localSheetId="1">'Control Card #1'!$1:$2</definedName>
    <definedName name="_xlnm.Print_Titles" localSheetId="2">'Control Card #2'!$1:$2</definedName>
    <definedName name="_xlnm.Print_Titles" localSheetId="3">'Control Card #3'!$1:$2</definedName>
    <definedName name="_xlnm.Print_Titles" localSheetId="4">'Control Card #4'!$1:$2</definedName>
    <definedName name="Province_State" localSheetId="2">#REF!</definedName>
    <definedName name="Province_State" localSheetId="3">#REF!</definedName>
    <definedName name="Province_State" localSheetId="4">#REF!</definedName>
    <definedName name="Province_State">#REF!</definedName>
    <definedName name="Start_date">'Control Entry'!$B$12</definedName>
    <definedName name="Start_time">'Control Entry'!$B$13</definedName>
    <definedName name="surname" localSheetId="2">#REF!</definedName>
    <definedName name="surname" localSheetId="3">#REF!</definedName>
    <definedName name="surname" localSheetId="4">#REF!</definedName>
    <definedName name="surname">#REF!</definedName>
    <definedName name="Work_telephone" localSheetId="2">#REF!</definedName>
    <definedName name="Work_telephone" localSheetId="3">#REF!</definedName>
    <definedName name="Work_telephone" localSheetId="4">#REF!</definedName>
    <definedName name="Work_telephone">#REF!</definedName>
  </definedNames>
  <calcPr calcId="181029"/>
  <extLst>
    <ext xmlns:x14="http://schemas.microsoft.com/office/spreadsheetml/2009/9/main" uri="{79F54976-1DA5-4618-B147-4CDE4B953A38}">
      <x14:workbookPr/>
    </ext>
    <ext xmlns="http://schemas.openxmlformats.org/spreadsheetml/2006/main" xmlns:mx="http://schemas.microsoft.com/office/mac/excel/2008/main" uri="{7523E5D3-25F3-A5E0-1632-64F254C22452}">
      <mx:ArchID Flags="2"/>
    </ext>
  </extLst>
</workbook>
</file>

<file path=xl/calcChain.xml><?xml version="1.0" encoding="utf-8"?>
<calcChain xmlns="http://purl.oclc.org/ooxml/spreadsheetml/main">
  <c r="F32" i="5" l="1"/>
  <c r="F31" i="5"/>
  <c r="F30" i="5"/>
  <c r="E32" i="5"/>
  <c r="E31" i="5"/>
  <c r="E30" i="5"/>
  <c r="D31" i="5"/>
  <c r="A31" i="5"/>
  <c r="F29" i="5"/>
  <c r="F28" i="5"/>
  <c r="F27" i="5"/>
  <c r="E29" i="5"/>
  <c r="E28" i="5"/>
  <c r="E27" i="5"/>
  <c r="D28" i="5"/>
  <c r="A28" i="5"/>
  <c r="F26" i="5"/>
  <c r="F25" i="5"/>
  <c r="F24" i="5"/>
  <c r="E26" i="5"/>
  <c r="E25" i="5"/>
  <c r="E24" i="5"/>
  <c r="D25" i="5"/>
  <c r="A25" i="5"/>
  <c r="F23" i="5"/>
  <c r="F22" i="5"/>
  <c r="F21" i="5"/>
  <c r="E23" i="5"/>
  <c r="E22" i="5"/>
  <c r="E21" i="5"/>
  <c r="D22" i="5"/>
  <c r="A22" i="5"/>
  <c r="F20" i="5"/>
  <c r="F19" i="5"/>
  <c r="F18" i="5"/>
  <c r="E20" i="5"/>
  <c r="E19" i="5"/>
  <c r="E18" i="5"/>
  <c r="D19" i="5"/>
  <c r="A19" i="5" l="1"/>
  <c r="F17" i="5"/>
  <c r="F16" i="5"/>
  <c r="F15" i="5"/>
  <c r="E17" i="5"/>
  <c r="E16" i="5"/>
  <c r="E15" i="5"/>
  <c r="D16" i="5"/>
  <c r="A16" i="5"/>
  <c r="F14" i="5"/>
  <c r="F13" i="5"/>
  <c r="F12" i="5"/>
  <c r="E14" i="5"/>
  <c r="E13" i="5"/>
  <c r="E12" i="5"/>
  <c r="D13" i="5"/>
  <c r="A13" i="5"/>
  <c r="F11" i="5"/>
  <c r="F10" i="5"/>
  <c r="F9" i="5"/>
  <c r="E11" i="5"/>
  <c r="E10" i="5"/>
  <c r="E9" i="5"/>
  <c r="D10" i="5"/>
  <c r="A10" i="5"/>
  <c r="F8" i="5"/>
  <c r="F7" i="5"/>
  <c r="F6" i="5"/>
  <c r="E8" i="5"/>
  <c r="E7" i="5"/>
  <c r="E6" i="5"/>
  <c r="D7" i="5"/>
  <c r="A7" i="5"/>
  <c r="F26" i="4"/>
  <c r="F25" i="4"/>
  <c r="F24" i="4"/>
  <c r="F19" i="4"/>
  <c r="F5" i="5"/>
  <c r="F4" i="5"/>
  <c r="F3" i="5"/>
  <c r="E5" i="4"/>
  <c r="E5" i="5"/>
  <c r="E4" i="5"/>
  <c r="E3" i="5"/>
  <c r="D4" i="5"/>
  <c r="A4" i="5"/>
  <c r="S3" i="5"/>
  <c r="S3" i="4"/>
  <c r="S3" i="3"/>
  <c r="S3" i="2"/>
  <c r="Q33" i="5"/>
  <c r="Q32" i="5"/>
  <c r="S20" i="5"/>
  <c r="L20" i="5"/>
  <c r="L6" i="5"/>
  <c r="R5" i="5"/>
  <c r="P5" i="5"/>
  <c r="L63" i="1"/>
  <c r="L62" i="1"/>
  <c r="L61" i="1"/>
  <c r="L60" i="1"/>
  <c r="L59" i="1"/>
  <c r="L58" i="1"/>
  <c r="L57" i="1"/>
  <c r="L56" i="1"/>
  <c r="L55" i="1"/>
  <c r="M54" i="1"/>
  <c r="L54" i="1"/>
  <c r="Q33" i="4"/>
  <c r="Q32" i="4"/>
  <c r="Q33" i="3"/>
  <c r="Q32" i="3"/>
  <c r="Q33" i="2"/>
  <c r="Q32" i="2"/>
  <c r="M46" i="1" l="1"/>
  <c r="M47" i="1"/>
  <c r="M48" i="1"/>
  <c r="M49" i="1"/>
  <c r="M50" i="1"/>
  <c r="M41" i="1"/>
  <c r="M37" i="1"/>
  <c r="S20" i="4" l="1"/>
  <c r="L20" i="4"/>
  <c r="S20" i="3"/>
  <c r="L20" i="3"/>
  <c r="S20" i="2"/>
  <c r="L20" i="2"/>
  <c r="F32" i="4" l="1"/>
  <c r="F31" i="4"/>
  <c r="F30" i="4"/>
  <c r="E32" i="4"/>
  <c r="E31" i="4"/>
  <c r="E30" i="4"/>
  <c r="D31" i="4"/>
  <c r="A31" i="4"/>
  <c r="F29" i="4"/>
  <c r="F28" i="4"/>
  <c r="F27" i="4"/>
  <c r="E29" i="4"/>
  <c r="E28" i="4"/>
  <c r="E27" i="4"/>
  <c r="D28" i="4"/>
  <c r="A28" i="4"/>
  <c r="E26" i="4"/>
  <c r="E25" i="4"/>
  <c r="E24" i="4"/>
  <c r="D25" i="4"/>
  <c r="A25" i="4"/>
  <c r="F23" i="4"/>
  <c r="F22" i="4"/>
  <c r="F21" i="4"/>
  <c r="E23" i="4"/>
  <c r="E22" i="4"/>
  <c r="E21" i="4"/>
  <c r="D22" i="4"/>
  <c r="A22" i="4"/>
  <c r="F20" i="4"/>
  <c r="F18" i="4"/>
  <c r="E20" i="4"/>
  <c r="E19" i="4"/>
  <c r="E18" i="4"/>
  <c r="D19" i="4"/>
  <c r="A19" i="4"/>
  <c r="F17" i="4"/>
  <c r="F16" i="4"/>
  <c r="F15" i="4"/>
  <c r="E17" i="4"/>
  <c r="E16" i="4"/>
  <c r="E15" i="4"/>
  <c r="D16" i="4"/>
  <c r="A16" i="4"/>
  <c r="F13" i="4"/>
  <c r="F14" i="4"/>
  <c r="F12" i="4"/>
  <c r="E14" i="4"/>
  <c r="E13" i="4"/>
  <c r="E12" i="4"/>
  <c r="D13" i="4"/>
  <c r="A13" i="4"/>
  <c r="A7" i="2" l="1"/>
  <c r="F11" i="4"/>
  <c r="F10" i="4"/>
  <c r="F9" i="4"/>
  <c r="E11" i="4"/>
  <c r="E10" i="4"/>
  <c r="E9" i="4"/>
  <c r="D10" i="4"/>
  <c r="A10" i="4"/>
  <c r="F8" i="4"/>
  <c r="F7" i="4"/>
  <c r="F6" i="4"/>
  <c r="E8" i="4"/>
  <c r="E7" i="4"/>
  <c r="E6" i="4"/>
  <c r="D7" i="4"/>
  <c r="A7" i="4"/>
  <c r="F5" i="4"/>
  <c r="F4" i="4"/>
  <c r="F3" i="4"/>
  <c r="E4" i="4"/>
  <c r="E3" i="4"/>
  <c r="D4" i="4"/>
  <c r="A4" i="4"/>
  <c r="L50" i="1" l="1"/>
  <c r="L49" i="1"/>
  <c r="L48" i="1"/>
  <c r="L47" i="1"/>
  <c r="L46" i="1"/>
  <c r="L45" i="1"/>
  <c r="L44" i="1"/>
  <c r="L43" i="1"/>
  <c r="L42" i="1"/>
  <c r="L41" i="1"/>
  <c r="L6" i="4"/>
  <c r="R5" i="4"/>
  <c r="P5" i="4"/>
  <c r="E8" i="3" l="1"/>
  <c r="E7" i="3"/>
  <c r="E5" i="3"/>
  <c r="F5" i="2" l="1"/>
  <c r="F32" i="2"/>
  <c r="F31" i="2"/>
  <c r="F30" i="2"/>
  <c r="F29" i="2"/>
  <c r="F28" i="2"/>
  <c r="F27" i="2"/>
  <c r="F26" i="2"/>
  <c r="F25" i="2"/>
  <c r="F24" i="2"/>
  <c r="F23" i="2"/>
  <c r="F22" i="2"/>
  <c r="F21" i="2"/>
  <c r="F20" i="2"/>
  <c r="F19" i="2"/>
  <c r="F18" i="2"/>
  <c r="F17" i="2"/>
  <c r="F16" i="2"/>
  <c r="F15" i="2"/>
  <c r="F14" i="2"/>
  <c r="F13" i="2"/>
  <c r="F12" i="2"/>
  <c r="F11" i="2"/>
  <c r="F10" i="2"/>
  <c r="F9" i="2"/>
  <c r="F8" i="2"/>
  <c r="F7" i="2"/>
  <c r="F6" i="2"/>
  <c r="F4" i="2"/>
  <c r="F3" i="2"/>
  <c r="L15" i="1"/>
  <c r="N15" i="1" s="1"/>
  <c r="L37" i="1"/>
  <c r="L36" i="1"/>
  <c r="L35" i="1"/>
  <c r="L34" i="1"/>
  <c r="L33" i="1"/>
  <c r="L32" i="1"/>
  <c r="L31" i="1"/>
  <c r="L30" i="1"/>
  <c r="L29" i="1"/>
  <c r="L28" i="1"/>
  <c r="F32" i="3"/>
  <c r="F31" i="3"/>
  <c r="F30" i="3"/>
  <c r="F29" i="3"/>
  <c r="F28" i="3"/>
  <c r="F27" i="3"/>
  <c r="F26" i="3"/>
  <c r="F25" i="3"/>
  <c r="F24" i="3"/>
  <c r="F23" i="3"/>
  <c r="F22" i="3"/>
  <c r="F21" i="3"/>
  <c r="F20" i="3"/>
  <c r="F19" i="3"/>
  <c r="F18" i="3"/>
  <c r="F17" i="3"/>
  <c r="F16" i="3"/>
  <c r="F15" i="3"/>
  <c r="F14" i="3"/>
  <c r="F13" i="3"/>
  <c r="F12" i="3"/>
  <c r="F11" i="3"/>
  <c r="F10" i="3"/>
  <c r="F9" i="3"/>
  <c r="F7" i="3"/>
  <c r="F8" i="3"/>
  <c r="F5" i="3"/>
  <c r="F6" i="3"/>
  <c r="F4" i="3"/>
  <c r="F3" i="3"/>
  <c r="E32" i="3"/>
  <c r="E31" i="3"/>
  <c r="E30" i="3"/>
  <c r="E29" i="3"/>
  <c r="E28" i="3"/>
  <c r="E27" i="3"/>
  <c r="E26" i="3"/>
  <c r="E25" i="3"/>
  <c r="E24" i="3"/>
  <c r="E23" i="3"/>
  <c r="E22" i="3"/>
  <c r="E21" i="3"/>
  <c r="E20" i="3"/>
  <c r="E19" i="3"/>
  <c r="E18" i="3"/>
  <c r="E17" i="3"/>
  <c r="E16" i="3"/>
  <c r="E15" i="3"/>
  <c r="E14" i="3"/>
  <c r="E13" i="3"/>
  <c r="E12" i="3"/>
  <c r="E11" i="3"/>
  <c r="E10" i="3"/>
  <c r="E9" i="3"/>
  <c r="E6" i="3"/>
  <c r="C6" i="1"/>
  <c r="E4" i="3"/>
  <c r="E3" i="3"/>
  <c r="D31" i="3"/>
  <c r="D28" i="3"/>
  <c r="D25" i="3"/>
  <c r="D22" i="3"/>
  <c r="D19" i="3"/>
  <c r="D16" i="3"/>
  <c r="D13" i="3"/>
  <c r="D10" i="3"/>
  <c r="D7" i="3"/>
  <c r="D4" i="3"/>
  <c r="A31" i="3"/>
  <c r="A28" i="3"/>
  <c r="A25" i="3"/>
  <c r="A22" i="3"/>
  <c r="A19" i="3"/>
  <c r="A16" i="3"/>
  <c r="A13" i="3"/>
  <c r="A10" i="3"/>
  <c r="A7" i="3"/>
  <c r="A4" i="3"/>
  <c r="L24" i="1"/>
  <c r="L23" i="1"/>
  <c r="L22" i="1"/>
  <c r="L21" i="1"/>
  <c r="L20" i="1"/>
  <c r="L19" i="1"/>
  <c r="L18" i="1"/>
  <c r="L17" i="1"/>
  <c r="L16" i="1"/>
  <c r="L6" i="3"/>
  <c r="R5" i="3"/>
  <c r="P5" i="3"/>
  <c r="L6" i="2"/>
  <c r="R5" i="2"/>
  <c r="P5" i="2"/>
  <c r="E32" i="2"/>
  <c r="E31" i="2"/>
  <c r="E30" i="2"/>
  <c r="E29" i="2"/>
  <c r="E28" i="2"/>
  <c r="E27" i="2"/>
  <c r="E26" i="2"/>
  <c r="E25" i="2"/>
  <c r="E24" i="2"/>
  <c r="E23" i="2"/>
  <c r="E22" i="2"/>
  <c r="E21" i="2"/>
  <c r="E20" i="2"/>
  <c r="E19" i="2"/>
  <c r="E18" i="2"/>
  <c r="E17" i="2"/>
  <c r="E16" i="2"/>
  <c r="E15" i="2"/>
  <c r="E14" i="2"/>
  <c r="E13" i="2"/>
  <c r="E12" i="2"/>
  <c r="E11" i="2"/>
  <c r="E10" i="2"/>
  <c r="E9" i="2"/>
  <c r="E8" i="2"/>
  <c r="E7" i="2"/>
  <c r="E6" i="2"/>
  <c r="E5" i="2"/>
  <c r="E4" i="2"/>
  <c r="E3" i="2"/>
  <c r="D25" i="2"/>
  <c r="D28" i="2"/>
  <c r="D31" i="2"/>
  <c r="A31" i="2"/>
  <c r="A4" i="2"/>
  <c r="D19" i="2"/>
  <c r="D16" i="2"/>
  <c r="D13" i="2"/>
  <c r="D10" i="2"/>
  <c r="D7" i="2"/>
  <c r="D4" i="2"/>
  <c r="D22" i="2"/>
  <c r="A28" i="2"/>
  <c r="A25" i="2"/>
  <c r="A22" i="2"/>
  <c r="A19" i="2"/>
  <c r="A10" i="2"/>
  <c r="A16" i="2"/>
  <c r="A13" i="2"/>
  <c r="M35" i="1" l="1"/>
  <c r="M33" i="1"/>
  <c r="M20" i="1"/>
  <c r="O20" i="1" s="1"/>
  <c r="M36" i="1"/>
  <c r="M34" i="1"/>
  <c r="O50" i="1"/>
  <c r="N50" i="1"/>
  <c r="N61" i="1"/>
  <c r="N60" i="1"/>
  <c r="N59" i="1"/>
  <c r="N63" i="1"/>
  <c r="N58" i="1"/>
  <c r="N62" i="1"/>
  <c r="M63" i="1"/>
  <c r="O63" i="1" s="1"/>
  <c r="M61" i="1"/>
  <c r="O61" i="1" s="1"/>
  <c r="M59" i="1"/>
  <c r="O59" i="1" s="1"/>
  <c r="M62" i="1"/>
  <c r="O62" i="1" s="1"/>
  <c r="M60" i="1"/>
  <c r="O60" i="1" s="1"/>
  <c r="M58" i="1"/>
  <c r="O58" i="1" s="1"/>
  <c r="M28" i="1"/>
  <c r="B7" i="1"/>
  <c r="M24" i="1" s="1"/>
  <c r="O24" i="1" s="1"/>
  <c r="C31" i="2" s="1"/>
  <c r="M4" i="5"/>
  <c r="M57" i="1"/>
  <c r="O57" i="1" s="1"/>
  <c r="M55" i="1"/>
  <c r="O55" i="1" s="1"/>
  <c r="M56" i="1"/>
  <c r="O56" i="1"/>
  <c r="N56" i="1"/>
  <c r="N57" i="1"/>
  <c r="N55" i="1"/>
  <c r="O54" i="1"/>
  <c r="N54" i="1"/>
  <c r="M4" i="3"/>
  <c r="M42" i="1"/>
  <c r="O42" i="1" s="1"/>
  <c r="M31" i="1"/>
  <c r="M16" i="1"/>
  <c r="O16" i="1" s="1"/>
  <c r="M43" i="1"/>
  <c r="O43" i="1" s="1"/>
  <c r="M32" i="1"/>
  <c r="O32" i="1" s="1"/>
  <c r="M19" i="1"/>
  <c r="M44" i="1"/>
  <c r="O44" i="1" s="1"/>
  <c r="M29" i="1"/>
  <c r="M18" i="1"/>
  <c r="O18" i="1" s="1"/>
  <c r="M45" i="1"/>
  <c r="O45" i="1" s="1"/>
  <c r="M30" i="1"/>
  <c r="M17" i="1"/>
  <c r="O17" i="1" s="1"/>
  <c r="O46" i="1"/>
  <c r="O47" i="1"/>
  <c r="O48" i="1"/>
  <c r="O49" i="1"/>
  <c r="N48" i="1"/>
  <c r="N42" i="1"/>
  <c r="N47" i="1"/>
  <c r="N43" i="1"/>
  <c r="N45" i="1"/>
  <c r="N49" i="1"/>
  <c r="N46" i="1"/>
  <c r="N44" i="1"/>
  <c r="N41" i="1"/>
  <c r="O41" i="1"/>
  <c r="M4" i="4"/>
  <c r="M15" i="1"/>
  <c r="O15" i="1" s="1"/>
  <c r="C3" i="2" s="1"/>
  <c r="N31" i="1"/>
  <c r="B4" i="2"/>
  <c r="O19" i="1"/>
  <c r="C17" i="2" s="1"/>
  <c r="N18" i="1"/>
  <c r="B14" i="2" s="1"/>
  <c r="N28" i="1"/>
  <c r="N34" i="1"/>
  <c r="N22" i="1"/>
  <c r="B25" i="2" s="1"/>
  <c r="O34" i="1"/>
  <c r="B3" i="2"/>
  <c r="O33" i="1"/>
  <c r="B5" i="2"/>
  <c r="N17" i="1"/>
  <c r="B11" i="2" s="1"/>
  <c r="N21" i="1"/>
  <c r="B22" i="2" s="1"/>
  <c r="N24" i="1"/>
  <c r="B31" i="2" s="1"/>
  <c r="N35" i="1"/>
  <c r="O37" i="1"/>
  <c r="N37" i="1"/>
  <c r="N16" i="1"/>
  <c r="B6" i="2" s="1"/>
  <c r="N20" i="1"/>
  <c r="B19" i="2" s="1"/>
  <c r="N29" i="1"/>
  <c r="N32" i="1"/>
  <c r="N19" i="1"/>
  <c r="B17" i="2" s="1"/>
  <c r="N23" i="1"/>
  <c r="B27" i="2" s="1"/>
  <c r="N30" i="1"/>
  <c r="N33" i="1"/>
  <c r="N36" i="1"/>
  <c r="O30" i="1"/>
  <c r="O29" i="1"/>
  <c r="M4" i="2"/>
  <c r="O36" i="1"/>
  <c r="O28" i="1"/>
  <c r="O35" i="1"/>
  <c r="O31" i="1"/>
  <c r="M23" i="1" l="1"/>
  <c r="O23" i="1" s="1"/>
  <c r="C27" i="2" s="1"/>
  <c r="M22" i="1"/>
  <c r="O22" i="1" s="1"/>
  <c r="C26" i="2" s="1"/>
  <c r="M21" i="1"/>
  <c r="O21" i="1" s="1"/>
  <c r="C23" i="2" s="1"/>
  <c r="C27" i="5"/>
  <c r="C29" i="5"/>
  <c r="C28" i="5"/>
  <c r="B29" i="5"/>
  <c r="B28" i="5"/>
  <c r="B27" i="5"/>
  <c r="B22" i="5"/>
  <c r="B21" i="5"/>
  <c r="B23" i="5"/>
  <c r="C20" i="5"/>
  <c r="C19" i="5"/>
  <c r="C18" i="5"/>
  <c r="B25" i="5"/>
  <c r="B24" i="5"/>
  <c r="B26" i="5"/>
  <c r="C26" i="5"/>
  <c r="C25" i="5"/>
  <c r="C24" i="5"/>
  <c r="C21" i="5"/>
  <c r="C23" i="5"/>
  <c r="C22" i="5"/>
  <c r="C31" i="5"/>
  <c r="C30" i="5"/>
  <c r="C32" i="5"/>
  <c r="B19" i="5"/>
  <c r="B18" i="5"/>
  <c r="B20" i="5"/>
  <c r="B32" i="5"/>
  <c r="B31" i="5"/>
  <c r="B30" i="5"/>
  <c r="B8" i="5"/>
  <c r="B7" i="5"/>
  <c r="B6" i="5"/>
  <c r="B14" i="5"/>
  <c r="B13" i="5"/>
  <c r="B12" i="5"/>
  <c r="C7" i="5"/>
  <c r="C8" i="5"/>
  <c r="C6" i="5"/>
  <c r="B15" i="5"/>
  <c r="B17" i="5"/>
  <c r="B16" i="5"/>
  <c r="B9" i="5"/>
  <c r="B10" i="5"/>
  <c r="B11" i="5"/>
  <c r="C13" i="5"/>
  <c r="C12" i="5"/>
  <c r="C14" i="5"/>
  <c r="C16" i="5"/>
  <c r="C15" i="5"/>
  <c r="C17" i="5"/>
  <c r="C10" i="5"/>
  <c r="C9" i="5"/>
  <c r="C11" i="5"/>
  <c r="B4" i="5"/>
  <c r="B3" i="5"/>
  <c r="B5" i="5"/>
  <c r="B31" i="4"/>
  <c r="B30" i="4"/>
  <c r="B32" i="4"/>
  <c r="C5" i="5"/>
  <c r="C3" i="5"/>
  <c r="C4" i="5"/>
  <c r="C31" i="4"/>
  <c r="C30" i="4"/>
  <c r="C32" i="4"/>
  <c r="B13" i="4"/>
  <c r="B12" i="4"/>
  <c r="B14" i="4"/>
  <c r="B29" i="4"/>
  <c r="B28" i="4"/>
  <c r="B27" i="4"/>
  <c r="C15" i="4"/>
  <c r="C17" i="4"/>
  <c r="C16" i="4"/>
  <c r="B23" i="4"/>
  <c r="B22" i="4"/>
  <c r="B21" i="4"/>
  <c r="B17" i="4"/>
  <c r="B16" i="4"/>
  <c r="B15" i="4"/>
  <c r="B25" i="4"/>
  <c r="B24" i="4"/>
  <c r="B26" i="4"/>
  <c r="C29" i="4"/>
  <c r="C28" i="4"/>
  <c r="C27" i="4"/>
  <c r="C21" i="4"/>
  <c r="C23" i="4"/>
  <c r="C22" i="4"/>
  <c r="C4" i="2"/>
  <c r="C14" i="4"/>
  <c r="C13" i="4"/>
  <c r="C12" i="4"/>
  <c r="B19" i="4"/>
  <c r="B18" i="4"/>
  <c r="B20" i="4"/>
  <c r="C20" i="4"/>
  <c r="C19" i="4"/>
  <c r="C18" i="4"/>
  <c r="C26" i="4"/>
  <c r="C25" i="4"/>
  <c r="C24" i="4"/>
  <c r="C8" i="4"/>
  <c r="C7" i="4"/>
  <c r="C6" i="4"/>
  <c r="C10" i="4"/>
  <c r="C9" i="4"/>
  <c r="C11" i="4"/>
  <c r="B8" i="4"/>
  <c r="B7" i="4"/>
  <c r="B6" i="4"/>
  <c r="B9" i="4"/>
  <c r="B11" i="4"/>
  <c r="B10" i="4"/>
  <c r="B5" i="4"/>
  <c r="B4" i="4"/>
  <c r="B3" i="4"/>
  <c r="C3" i="4"/>
  <c r="C5" i="4"/>
  <c r="C4" i="4"/>
  <c r="C19" i="3"/>
  <c r="B21" i="3"/>
  <c r="B29" i="3"/>
  <c r="B6" i="3"/>
  <c r="B26" i="3"/>
  <c r="B5" i="3"/>
  <c r="B11" i="3"/>
  <c r="C23" i="3"/>
  <c r="B32" i="3"/>
  <c r="B16" i="3"/>
  <c r="C31" i="3"/>
  <c r="C5" i="2"/>
  <c r="B19" i="3"/>
  <c r="B14" i="3"/>
  <c r="B25" i="3"/>
  <c r="C16" i="2"/>
  <c r="B13" i="3"/>
  <c r="B12" i="3"/>
  <c r="B21" i="2"/>
  <c r="B26" i="2"/>
  <c r="C15" i="2"/>
  <c r="C30" i="3"/>
  <c r="B3" i="3"/>
  <c r="B8" i="2"/>
  <c r="B12" i="2"/>
  <c r="B13" i="2"/>
  <c r="B22" i="3"/>
  <c r="B30" i="3"/>
  <c r="B27" i="3"/>
  <c r="B8" i="3"/>
  <c r="C29" i="2"/>
  <c r="B18" i="3"/>
  <c r="B29" i="2"/>
  <c r="B15" i="2"/>
  <c r="B31" i="3"/>
  <c r="B18" i="2"/>
  <c r="B10" i="3"/>
  <c r="B32" i="2"/>
  <c r="C28" i="2"/>
  <c r="C30" i="2"/>
  <c r="B20" i="2"/>
  <c r="C22" i="3"/>
  <c r="B24" i="3"/>
  <c r="B28" i="3"/>
  <c r="B7" i="3"/>
  <c r="B4" i="3"/>
  <c r="B16" i="2"/>
  <c r="B7" i="2"/>
  <c r="C19" i="2"/>
  <c r="C18" i="2"/>
  <c r="C20" i="2"/>
  <c r="C13" i="2"/>
  <c r="C12" i="2"/>
  <c r="C14" i="2"/>
  <c r="B23" i="3"/>
  <c r="B9" i="2"/>
  <c r="B30" i="2"/>
  <c r="C32" i="2"/>
  <c r="B10" i="2"/>
  <c r="B9" i="3"/>
  <c r="B24" i="2"/>
  <c r="C21" i="3"/>
  <c r="C18" i="3"/>
  <c r="B20" i="3"/>
  <c r="C9" i="2"/>
  <c r="C10" i="2"/>
  <c r="B28" i="2"/>
  <c r="B23" i="2"/>
  <c r="B17" i="3"/>
  <c r="C8" i="2"/>
  <c r="C7" i="2"/>
  <c r="C11" i="2"/>
  <c r="C20" i="3"/>
  <c r="B15" i="3"/>
  <c r="C32" i="3"/>
  <c r="C6" i="2"/>
  <c r="C6" i="3"/>
  <c r="C7" i="3"/>
  <c r="C8" i="3"/>
  <c r="C11" i="3"/>
  <c r="C9" i="3"/>
  <c r="C10" i="3"/>
  <c r="C13" i="3"/>
  <c r="C14" i="3"/>
  <c r="C12" i="3"/>
  <c r="C4" i="3"/>
  <c r="C5" i="3"/>
  <c r="C3" i="3"/>
  <c r="C25" i="3"/>
  <c r="C26" i="3"/>
  <c r="C24" i="3"/>
  <c r="C15" i="3"/>
  <c r="C16" i="3"/>
  <c r="C17" i="3"/>
  <c r="C27" i="3"/>
  <c r="C28" i="3"/>
  <c r="C29" i="3"/>
  <c r="C25" i="2" l="1"/>
  <c r="C24" i="2"/>
  <c r="C21" i="2"/>
  <c r="C22" i="2"/>
</calcChain>
</file>

<file path=xl/comments1.xml><?xml version="1.0" encoding="utf-8"?>
<comments xmlns="http://purl.oclc.org/ooxml/spreadsheetml/main" xmlns:xdr="http://purl.oclc.org/ooxml/drawingml/spreadsheetDrawing" xmlns:v="urn:schemas-microsoft-com:vml" xmlns:mc="http://schemas.openxmlformats.org/markup-compatibility/2006" xmlns:xr="http://schemas.microsoft.com/office/spreadsheetml/2014/revision" mc:Ignorable="xr">
  <authors>
    <author>Stephen Hinde</author>
    <author>A satisfied Microsoft Office user</author>
  </authors>
  <commentList>
    <comment ref="B4" authorId="0" shapeId="1025" xr:uid="{4563209B-AACD-704D-A715-734D9228E28F}">
      <text>
        <r>
          <rPr>
            <b/>
            <sz val="10"/>
            <color rgb="FF000000"/>
            <rFont val="Tahoma"/>
            <family val="2"/>
          </rPr>
          <t>Stephen Hinde:</t>
        </r>
        <r>
          <rPr>
            <sz val="10"/>
            <color rgb="FF000000"/>
            <rFont val="Tahoma"/>
            <family val="2"/>
          </rPr>
          <t xml:space="preserve">Revision date of the brevet details on this sheet
</t>
        </r>
      </text>
      <mc:AlternateContent xmlns:mc="http://schemas.openxmlformats.org/markup-compatibility/2006">
        <mc:Choice Requires="v"/>
        <mc:Fallback>
          <commentPr defaultSize="0" autoFill="0" autoLine="0">
            <anchor>
              <from>
                <xdr:col>3</xdr:col>
                <xdr:colOff>165100</xdr:colOff>
                <xdr:row>2</xdr:row>
                <xdr:rowOff>38100</xdr:rowOff>
              </from>
              <to>
                <xdr:col>4</xdr:col>
                <xdr:colOff>838200</xdr:colOff>
                <xdr:row>6</xdr:row>
                <xdr:rowOff>165100</xdr:rowOff>
              </to>
            </anchor>
          </commentPr>
        </mc:Fallback>
      </mc:AlternateContent>
    </comment>
    <comment ref="B6" authorId="0" shapeId="1026" xr:uid="{00000000-0006-0000-0000-000001000000}">
      <text>
        <r>
          <rPr>
            <b/>
            <sz val="10"/>
            <color rgb="FF000000"/>
            <rFont val="Tahoma"/>
            <family val="2"/>
          </rPr>
          <t>Stephen Hinde:</t>
        </r>
        <r>
          <rPr>
            <sz val="10"/>
            <color rgb="FF000000"/>
            <rFont val="Tahoma"/>
            <family val="2"/>
          </rPr>
          <t xml:space="preserve">
</t>
        </r>
        <r>
          <rPr>
            <sz val="10"/>
            <color rgb="FF000000"/>
            <rFont val="Tahoma"/>
            <family val="2"/>
          </rPr>
          <t xml:space="preserve">Nominal ACP distance
</t>
        </r>
        <r>
          <rPr>
            <sz val="10"/>
            <color rgb="FF000000"/>
            <rFont val="Tahoma"/>
            <family val="2"/>
          </rPr>
          <t xml:space="preserve">
</t>
        </r>
        <r>
          <rPr>
            <sz val="10"/>
            <color rgb="FF000000"/>
            <rFont val="Tahoma"/>
            <family val="2"/>
          </rPr>
          <t>eg 200, 300, 400, 600</t>
        </r>
      </text>
      <mc:AlternateContent xmlns:mc="http://schemas.openxmlformats.org/markup-compatibility/2006">
        <mc:Choice Requires="v"/>
        <mc:Fallback>
          <commentPr defaultSize="0" autoFill="0" autoLine="0">
            <anchor>
              <from>
                <xdr:col>3</xdr:col>
                <xdr:colOff>165100</xdr:colOff>
                <xdr:row>4</xdr:row>
                <xdr:rowOff>38100</xdr:rowOff>
              </from>
              <to>
                <xdr:col>4</xdr:col>
                <xdr:colOff>825500</xdr:colOff>
                <xdr:row>7</xdr:row>
                <xdr:rowOff>25400</xdr:rowOff>
              </to>
            </anchor>
          </commentPr>
        </mc:Fallback>
      </mc:AlternateContent>
    </comment>
    <comment ref="B7" authorId="1" shapeId="1027" xr:uid="{00000000-0006-0000-0000-000002000000}">
      <text>
        <r>
          <rPr>
            <sz val="8"/>
            <color rgb="FF000000"/>
            <rFont val="Tahoma"/>
            <family val="2"/>
          </rPr>
          <t>Autocalculated based on ACP specified times</t>
        </r>
      </text>
      <mc:AlternateContent xmlns:mc="http://schemas.openxmlformats.org/markup-compatibility/2006">
        <mc:Choice Requires="v"/>
        <mc:Fallback>
          <commentPr defaultSize="0" autoFill="0" autoLine="0">
            <anchor>
              <from>
                <xdr:col>3</xdr:col>
                <xdr:colOff>165100</xdr:colOff>
                <xdr:row>5</xdr:row>
                <xdr:rowOff>76200</xdr:rowOff>
              </from>
              <to>
                <xdr:col>4</xdr:col>
                <xdr:colOff>927100</xdr:colOff>
                <xdr:row>7</xdr:row>
                <xdr:rowOff>114300</xdr:rowOff>
              </to>
            </anchor>
          </commentPr>
        </mc:Fallback>
      </mc:AlternateContent>
    </comment>
    <comment ref="B9" authorId="0" shapeId="1028" xr:uid="{00000000-0006-0000-0000-000003000000}">
      <text>
        <r>
          <rPr>
            <b/>
            <sz val="10"/>
            <color rgb="FF000000"/>
            <rFont val="Tahoma"/>
            <family val="2"/>
          </rPr>
          <t>Stephen Hinde:</t>
        </r>
        <r>
          <rPr>
            <sz val="10"/>
            <color rgb="FF000000"/>
            <rFont val="Tahoma"/>
            <family val="2"/>
          </rPr>
          <t xml:space="preserve">
</t>
        </r>
        <r>
          <rPr>
            <sz val="10"/>
            <color rgb="FF000000"/>
            <rFont val="Tahoma"/>
            <family val="2"/>
          </rPr>
          <t>On event page</t>
        </r>
      </text>
      <mc:AlternateContent xmlns:mc="http://schemas.openxmlformats.org/markup-compatibility/2006">
        <mc:Choice Requires="v"/>
        <mc:Fallback>
          <commentPr defaultSize="0" autoFill="0" autoLine="0">
            <anchor>
              <from>
                <xdr:col>3</xdr:col>
                <xdr:colOff>165100</xdr:colOff>
                <xdr:row>7</xdr:row>
                <xdr:rowOff>114300</xdr:rowOff>
              </from>
              <to>
                <xdr:col>4</xdr:col>
                <xdr:colOff>825500</xdr:colOff>
                <xdr:row>12</xdr:row>
                <xdr:rowOff>203200</xdr:rowOff>
              </to>
            </anchor>
          </commentPr>
        </mc:Fallback>
      </mc:AlternateContent>
    </comment>
    <comment ref="B10" authorId="0" shapeId="1029" xr:uid="{00000000-0006-0000-0000-000004000000}">
      <text>
        <r>
          <rPr>
            <b/>
            <sz val="10"/>
            <color rgb="FF000000"/>
            <rFont val="Tahoma"/>
            <family val="2"/>
          </rPr>
          <t>Stephen Hinde:</t>
        </r>
        <r>
          <rPr>
            <sz val="10"/>
            <color rgb="FF000000"/>
            <rFont val="Tahoma"/>
            <family val="2"/>
          </rPr>
          <t xml:space="preserve">
</t>
        </r>
        <r>
          <rPr>
            <sz val="10"/>
            <color rgb="FF000000"/>
            <rFont val="Tahoma"/>
            <family val="2"/>
          </rPr>
          <t>Official ACP date</t>
        </r>
      </text>
      <mc:AlternateContent xmlns:mc="http://schemas.openxmlformats.org/markup-compatibility/2006">
        <mc:Choice Requires="v"/>
        <mc:Fallback>
          <commentPr defaultSize="0" autoFill="0" autoLine="0">
            <anchor>
              <from>
                <xdr:col>3</xdr:col>
                <xdr:colOff>165100</xdr:colOff>
                <xdr:row>7</xdr:row>
                <xdr:rowOff>63500</xdr:rowOff>
              </from>
              <to>
                <xdr:col>4</xdr:col>
                <xdr:colOff>825500</xdr:colOff>
                <xdr:row>12</xdr:row>
                <xdr:rowOff>25400</xdr:rowOff>
              </to>
            </anchor>
          </commentPr>
        </mc:Fallback>
      </mc:AlternateContent>
    </comment>
    <comment ref="B12" authorId="0" shapeId="1030" xr:uid="{23558CA1-4512-6144-8D64-23E7C0C33489}">
      <text>
        <r>
          <rPr>
            <b/>
            <sz val="10"/>
            <color rgb="FF000000"/>
            <rFont val="Tahoma"/>
            <family val="2"/>
          </rPr>
          <t>Stephen Hinde:</t>
        </r>
        <r>
          <rPr>
            <sz val="10"/>
            <color rgb="FF000000"/>
            <rFont val="Tahoma"/>
            <family val="2"/>
          </rPr>
          <t xml:space="preserve">
</t>
        </r>
        <r>
          <rPr>
            <sz val="10"/>
            <color rgb="FF000000"/>
            <rFont val="Tahoma"/>
            <family val="2"/>
          </rPr>
          <t xml:space="preserve">Ride date
</t>
        </r>
      </text>
      <mc:AlternateContent xmlns:mc="http://schemas.openxmlformats.org/markup-compatibility/2006">
        <mc:Choice Requires="v"/>
        <mc:Fallback>
          <commentPr defaultSize="0" autoFill="0" autoLine="0">
            <anchor>
              <from>
                <xdr:col>3</xdr:col>
                <xdr:colOff>165100</xdr:colOff>
                <xdr:row>8</xdr:row>
                <xdr:rowOff>127000</xdr:rowOff>
              </from>
              <to>
                <xdr:col>4</xdr:col>
                <xdr:colOff>825500</xdr:colOff>
                <xdr:row>14</xdr:row>
                <xdr:rowOff>127000</xdr:rowOff>
              </to>
            </anchor>
          </commentPr>
        </mc:Fallback>
      </mc:AlternateContent>
    </comment>
    <comment ref="B13" authorId="0" shapeId="1031" xr:uid="{B42762EC-1925-AE46-9F2A-7C3A271E16AF}">
      <text>
        <r>
          <rPr>
            <b/>
            <sz val="10"/>
            <color rgb="FF000000"/>
            <rFont val="Tahoma"/>
            <family val="2"/>
          </rPr>
          <t>Stephen Hinde:</t>
        </r>
        <r>
          <rPr>
            <sz val="10"/>
            <color rgb="FF000000"/>
            <rFont val="Tahoma"/>
            <family val="2"/>
          </rPr>
          <t xml:space="preserve">
</t>
        </r>
        <r>
          <rPr>
            <sz val="10"/>
            <color rgb="FF000000"/>
            <rFont val="Tahoma"/>
            <family val="2"/>
          </rPr>
          <t xml:space="preserve">24hr clock format
</t>
        </r>
        <r>
          <rPr>
            <sz val="10"/>
            <color rgb="FF000000"/>
            <rFont val="Tahoma"/>
            <family val="2"/>
          </rPr>
          <t>hh:mm</t>
        </r>
      </text>
      <mc:AlternateContent xmlns:mc="http://schemas.openxmlformats.org/markup-compatibility/2006">
        <mc:Choice Requires="v"/>
        <mc:Fallback>
          <commentPr defaultSize="0" autoFill="0" autoLine="0">
            <anchor>
              <from>
                <xdr:col>3</xdr:col>
                <xdr:colOff>165100</xdr:colOff>
                <xdr:row>11</xdr:row>
                <xdr:rowOff>88900</xdr:rowOff>
              </from>
              <to>
                <xdr:col>4</xdr:col>
                <xdr:colOff>838200</xdr:colOff>
                <xdr:row>14</xdr:row>
                <xdr:rowOff>203200</xdr:rowOff>
              </to>
            </anchor>
          </commentPr>
        </mc:Fallback>
      </mc:AlternateContent>
    </comment>
  </commentList>
</comments>
</file>

<file path=xl/sharedStrings.xml><?xml version="1.0" encoding="utf-8"?>
<sst xmlns="http://purl.oclc.org/ooxml/spreadsheetml/main" count="415" uniqueCount="125">
  <si>
    <t>Start time</t>
  </si>
  <si>
    <t>Finish time</t>
  </si>
  <si>
    <t>Elapsed time</t>
  </si>
  <si>
    <t>Open</t>
  </si>
  <si>
    <t>Close</t>
  </si>
  <si>
    <t>Open time</t>
  </si>
  <si>
    <t>Close time</t>
  </si>
  <si>
    <t>Control 1</t>
  </si>
  <si>
    <t>Control 2</t>
  </si>
  <si>
    <t>Control 3</t>
  </si>
  <si>
    <t>Control 4</t>
  </si>
  <si>
    <t>Control 5</t>
  </si>
  <si>
    <t>Control 6</t>
  </si>
  <si>
    <t>Control 7</t>
  </si>
  <si>
    <t>Control 8</t>
  </si>
  <si>
    <t>Control 9</t>
  </si>
  <si>
    <t>Control 10</t>
  </si>
  <si>
    <t>Rider's signature at completion</t>
  </si>
  <si>
    <t>Brevet Length:</t>
  </si>
  <si>
    <t>Maximum Time:</t>
  </si>
  <si>
    <t>Brevet Description:</t>
  </si>
  <si>
    <t>Brevet Number:</t>
  </si>
  <si>
    <t>Start Date:</t>
  </si>
  <si>
    <t>Start Time:</t>
  </si>
  <si>
    <t>Distance</t>
  </si>
  <si>
    <t>Locale</t>
  </si>
  <si>
    <t>Establishment 1</t>
  </si>
  <si>
    <t>Establishment 2</t>
  </si>
  <si>
    <t>Establishment 3</t>
  </si>
  <si>
    <t>|</t>
  </si>
  <si>
    <t>DIST (km)</t>
  </si>
  <si>
    <t>Establishment</t>
  </si>
  <si>
    <t>Time of Passage</t>
  </si>
  <si>
    <t>Control Card</t>
  </si>
  <si>
    <t>Name</t>
  </si>
  <si>
    <t>Address</t>
  </si>
  <si>
    <t>City</t>
  </si>
  <si>
    <t>Province/State</t>
  </si>
  <si>
    <t>Country</t>
  </si>
  <si>
    <t>Postal Code</t>
  </si>
  <si>
    <t>Telephone</t>
  </si>
  <si>
    <t>email</t>
  </si>
  <si>
    <t>Randonneur Committee Authorization</t>
  </si>
  <si>
    <t>Report results or abandonment through registration email link</t>
  </si>
  <si>
    <t>Start Date</t>
  </si>
  <si>
    <t>Finish Date</t>
  </si>
  <si>
    <t>Member #</t>
  </si>
  <si>
    <t xml:space="preserve">Brevet No. </t>
  </si>
  <si>
    <t>Schedule date:</t>
  </si>
  <si>
    <t>Single</t>
  </si>
  <si>
    <t>Tandem</t>
  </si>
  <si>
    <t>Fixed</t>
  </si>
  <si>
    <t>Recumbent</t>
  </si>
  <si>
    <t>Velomobile</t>
  </si>
  <si>
    <t>(only add if change needed to database)</t>
  </si>
  <si>
    <t>Founding member of LES RANDONNEURS MONDIAUX (1983)</t>
  </si>
  <si>
    <t>Bicycle Type
Circle one</t>
  </si>
  <si>
    <t>-------&gt;</t>
  </si>
  <si>
    <t>Ride Day Emergency Contact</t>
  </si>
  <si>
    <t>Signature/Answer</t>
  </si>
  <si>
    <t>Signature/Answer 1</t>
  </si>
  <si>
    <t>Signature/Answer 2</t>
  </si>
  <si>
    <t>Signature/Answer 3</t>
  </si>
  <si>
    <t>Instructions</t>
  </si>
  <si>
    <t>Fill nominal brevet length.  This is the ACP distance eg 200, 300, 1000</t>
  </si>
  <si>
    <t>Maximum allowable time automatically calculated</t>
  </si>
  <si>
    <t>Enter the brevet name eg 'Remembrance Day Brevet'</t>
  </si>
  <si>
    <t>Enter the brevet number.  This is the BCR database number, and can be found on the event page in the database</t>
  </si>
  <si>
    <t>Enter the schedule date.  This is the official ACP listed date and can be found on the shcedule on the website</t>
  </si>
  <si>
    <t>Fill in the control distance.  The opening and closing times will be automatically calculated based on the start time and the brevet distance.  If you need more than 10 controls, use card #2, otherwise leave that section blank.</t>
  </si>
  <si>
    <t>When using information controls, you can put your question in the Signature/Answer section eg Sig/Ans.1 Sign on main door  Sig/Ans. 2  This week's special is?  Sig/Ans. 3 ________________</t>
  </si>
  <si>
    <t>Control Card #1 Information Control Question (optional)</t>
  </si>
  <si>
    <t>Control Card #2 Information Control Question (optional)</t>
  </si>
  <si>
    <t xml:space="preserve">Control Card </t>
  </si>
  <si>
    <r>
      <t xml:space="preserve">At each control, please have signed or </t>
    </r>
    <r>
      <rPr>
        <b/>
        <i/>
        <sz val="16"/>
        <rFont val="Arial"/>
        <family val="2"/>
      </rPr>
      <t>answer question</t>
    </r>
    <r>
      <rPr>
        <i/>
        <sz val="16"/>
        <rFont val="Arial"/>
        <family val="2"/>
      </rPr>
      <t xml:space="preserve"> and</t>
    </r>
    <r>
      <rPr>
        <b/>
        <i/>
        <sz val="16"/>
        <rFont val="Arial"/>
        <family val="2"/>
      </rPr>
      <t xml:space="preserve"> note time of day</t>
    </r>
  </si>
  <si>
    <t>Enter the start time.  This will be the official ACP listed start time found on the event page, unless a ride window has been enabled.</t>
  </si>
  <si>
    <t>Enter the start date.  This will be the same as the schedule date, exceot for pre-rides or unless a ride window has been enabled.</t>
  </si>
  <si>
    <t>Control Card #2</t>
  </si>
  <si>
    <t>Control Card #3 Information Control Question (optional)</t>
  </si>
  <si>
    <t>Control Card #3</t>
  </si>
  <si>
    <r>
      <t xml:space="preserve">At each control, please </t>
    </r>
    <r>
      <rPr>
        <b/>
        <i/>
        <sz val="16"/>
        <rFont val="Arial"/>
        <family val="2"/>
      </rPr>
      <t>have signed or answer question</t>
    </r>
    <r>
      <rPr>
        <i/>
        <sz val="16"/>
        <rFont val="Arial"/>
        <family val="2"/>
      </rPr>
      <t xml:space="preserve"> and</t>
    </r>
    <r>
      <rPr>
        <b/>
        <i/>
        <sz val="16"/>
        <rFont val="Arial"/>
        <family val="2"/>
      </rPr>
      <t xml:space="preserve"> note time of day</t>
    </r>
  </si>
  <si>
    <t>Control Card #1</t>
  </si>
  <si>
    <t xml:space="preserve">Template Revised:  </t>
  </si>
  <si>
    <t>DO NOT DELETE OR MOVE ROWS OR COLUMNS (delete contents of cells only)</t>
  </si>
  <si>
    <t>Fill in the Locale (city) for each control.  Establishment 1, 2, and 3 can be used to describe the control itself eg Locale HOPE  Est.1 Dairy Queen Est.2 817 Water Ave Est. 3 (left blank)</t>
  </si>
  <si>
    <t>Scroll right to see further instructions</t>
  </si>
  <si>
    <t xml:space="preserve">Card Revised:  </t>
  </si>
  <si>
    <t>Control Card #4</t>
  </si>
  <si>
    <t>Control Card #4 Information Control Question (optional)</t>
  </si>
  <si>
    <t>You can create 4 control cards  (upto 40 controls) for one event, or 4 control cards (up to 10 controls) with different start loctions for a single event, or 2 sets of 2 control cards.  Control Card #1 will only show '#1' if a distance, not zero, is entered into the first distance box for Control Card #2.  Similarly for Control Card #3 and Control Card #4.  If CC#3 starts at distance 0 and CC#4 has a distance greater than 0, then CC#3 will display as CC#1 and CC#4 will display as CC#2.  This allows for 2 cards for start location 1 and two cards for start location 2.</t>
  </si>
  <si>
    <t>SIGN HERE AND RECORD RESULTS ON CARD #1</t>
  </si>
  <si>
    <t>SECRET</t>
  </si>
  <si>
    <t>Shell Gas</t>
  </si>
  <si>
    <t>BUSINESS</t>
  </si>
  <si>
    <t>INFORMATION</t>
  </si>
  <si>
    <t>Coombs Cumberland Explorer</t>
  </si>
  <si>
    <t>PARKSVILLE</t>
  </si>
  <si>
    <t>ERRINGTON</t>
  </si>
  <si>
    <t>COURTENAY</t>
  </si>
  <si>
    <t>CUMBERLAND</t>
  </si>
  <si>
    <t>QUALICUM BAY</t>
  </si>
  <si>
    <t>STAFFED</t>
  </si>
  <si>
    <t>Starbucks</t>
  </si>
  <si>
    <t>Englishman River Provincial Park</t>
  </si>
  <si>
    <t>D's Café</t>
  </si>
  <si>
    <t>Cone Zone</t>
  </si>
  <si>
    <t>Little Qualicum River Regional Park</t>
  </si>
  <si>
    <t>QUALICUM BEACH</t>
  </si>
  <si>
    <t>382 Island Hwy E @ Mills St</t>
  </si>
  <si>
    <t>370 Island Hwy E @ McVickers St</t>
  </si>
  <si>
    <t>Airpark Marina,102A 20th St</t>
  </si>
  <si>
    <t>Cumberland Lake Park Campground</t>
  </si>
  <si>
    <t>1100 Comox Lake Rd</t>
  </si>
  <si>
    <t>5970 Island Hwy W</t>
  </si>
  <si>
    <t>Left panel "Things to do"</t>
  </si>
  <si>
    <t>Parking lot, 1505 Meadowood Way</t>
  </si>
  <si>
    <t>Far end of lot, past picnic shelter</t>
  </si>
  <si>
    <t>Ginger Goodwin Story' sign</t>
  </si>
  <si>
    <t>"…on Miners _____________Day…"</t>
  </si>
  <si>
    <t>Face back on route, signpost on right</t>
  </si>
  <si>
    <t>"Playground near campsite __________"</t>
  </si>
  <si>
    <t>"Don't be an ___________ target"</t>
  </si>
  <si>
    <t>ORGANIZER: 250.713.7651</t>
  </si>
  <si>
    <t>Main sign to left of trail to falls</t>
  </si>
  <si>
    <t>Parking lot, end of Errington Rd</t>
  </si>
</sst>
</file>

<file path=xl/styles.xml><?xml version="1.0" encoding="utf-8"?>
<styleSheet xmlns="http://purl.oclc.org/ooxml/spreadsheetml/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d/mmm/yy\ hh:mm\ AM/PM"/>
    <numFmt numFmtId="165" formatCode="d/mmm/yy"/>
    <numFmt numFmtId="166" formatCode="dddd"/>
    <numFmt numFmtId="167" formatCode="0.0"/>
    <numFmt numFmtId="168" formatCode="mmmm\ d\,\ yyyy"/>
    <numFmt numFmtId="169" formatCode="[&lt;=9999999]###\-####;\(###\)\ ###\-####"/>
  </numFmts>
  <fonts count="33" x14ac:knownFonts="1">
    <font>
      <sz val="10"/>
      <name val="Arial"/>
    </font>
    <font>
      <sz val="12"/>
      <color theme="1"/>
      <name val="Calibri"/>
      <family val="2"/>
      <scheme val="minor"/>
    </font>
    <font>
      <sz val="12"/>
      <color theme="1"/>
      <name val="Calibri"/>
      <family val="2"/>
      <scheme val="minor"/>
    </font>
    <font>
      <sz val="12"/>
      <color theme="1"/>
      <name val="Calibri"/>
      <family val="2"/>
      <scheme val="minor"/>
    </font>
    <font>
      <sz val="12"/>
      <color theme="1"/>
      <name val="Calibri"/>
      <family val="2"/>
      <scheme val="minor"/>
    </font>
    <font>
      <sz val="10"/>
      <name val="Arial"/>
      <family val="2"/>
    </font>
    <font>
      <sz val="12"/>
      <name val="Arial"/>
      <family val="2"/>
    </font>
    <font>
      <sz val="14"/>
      <name val="Arial"/>
      <family val="2"/>
    </font>
    <font>
      <sz val="20"/>
      <name val="Arial"/>
      <family val="2"/>
    </font>
    <font>
      <sz val="36"/>
      <name val="Arial"/>
      <family val="2"/>
    </font>
    <font>
      <sz val="16"/>
      <name val="Arial"/>
      <family val="2"/>
    </font>
    <font>
      <i/>
      <sz val="14"/>
      <name val="Arial"/>
      <family val="2"/>
    </font>
    <font>
      <sz val="18"/>
      <name val="Arial"/>
      <family val="2"/>
    </font>
    <font>
      <sz val="14"/>
      <name val="Arial Narrow"/>
      <family val="2"/>
    </font>
    <font>
      <b/>
      <sz val="14"/>
      <name val="Arial Narrow"/>
      <family val="2"/>
    </font>
    <font>
      <b/>
      <sz val="16"/>
      <name val="Arial Narrow"/>
      <family val="2"/>
    </font>
    <font>
      <sz val="8"/>
      <name val="Arial"/>
      <family val="2"/>
    </font>
    <font>
      <u/>
      <sz val="10"/>
      <color theme="10"/>
      <name val="Arial"/>
      <family val="2"/>
    </font>
    <font>
      <u/>
      <sz val="10"/>
      <color theme="11"/>
      <name val="Arial"/>
      <family val="2"/>
    </font>
    <font>
      <b/>
      <sz val="16"/>
      <name val="Arial"/>
      <family val="2"/>
    </font>
    <font>
      <sz val="8"/>
      <color rgb="FF000000"/>
      <name val="Tahoma"/>
      <family val="2"/>
    </font>
    <font>
      <i/>
      <sz val="16"/>
      <name val="Arial"/>
      <family val="2"/>
    </font>
    <font>
      <b/>
      <i/>
      <sz val="16"/>
      <name val="Arial"/>
      <family val="2"/>
    </font>
    <font>
      <sz val="16"/>
      <name val="Arial Narrow"/>
      <family val="2"/>
    </font>
    <font>
      <sz val="11"/>
      <color theme="1"/>
      <name val="Calibri"/>
      <family val="2"/>
      <scheme val="minor"/>
    </font>
    <font>
      <sz val="10"/>
      <color rgb="FF000000"/>
      <name val="Tahoma"/>
      <family val="2"/>
    </font>
    <font>
      <b/>
      <sz val="10"/>
      <color rgb="FF000000"/>
      <name val="Tahoma"/>
      <family val="2"/>
    </font>
    <font>
      <sz val="10"/>
      <name val="Arial Narrow"/>
      <family val="2"/>
    </font>
    <font>
      <sz val="10"/>
      <color rgb="FFFF0000"/>
      <name val="Arial"/>
      <family val="2"/>
    </font>
    <font>
      <sz val="20"/>
      <color theme="0" tint="-0.249977111117893"/>
      <name val="Impact"/>
      <family val="2"/>
    </font>
    <font>
      <sz val="16"/>
      <color rgb="FFFF0000"/>
      <name val="Arial"/>
      <family val="2"/>
    </font>
    <font>
      <sz val="9"/>
      <name val="Arial"/>
      <family val="2"/>
    </font>
    <font>
      <sz val="11"/>
      <name val="Arial Narrow"/>
      <family val="2"/>
    </font>
  </fonts>
  <fills count="3">
    <fill>
      <patternFill patternType="none"/>
    </fill>
    <fill>
      <patternFill patternType="gray125"/>
    </fill>
    <fill>
      <patternFill patternType="solid">
        <fgColor indexed="22"/>
        <bgColor indexed="64"/>
      </patternFill>
    </fill>
  </fills>
  <borders count="30">
    <border>
      <start/>
      <end/>
      <top/>
      <bottom/>
      <diagonal/>
    </border>
    <border>
      <start style="medium">
        <color auto="1"/>
      </start>
      <end style="medium">
        <color auto="1"/>
      </end>
      <top style="medium">
        <color auto="1"/>
      </top>
      <bottom style="thin">
        <color auto="1"/>
      </bottom>
      <diagonal/>
    </border>
    <border>
      <start/>
      <end style="medium">
        <color auto="1"/>
      </end>
      <top style="medium">
        <color auto="1"/>
      </top>
      <bottom style="thin">
        <color auto="1"/>
      </bottom>
      <diagonal/>
    </border>
    <border>
      <start style="medium">
        <color auto="1"/>
      </start>
      <end style="medium">
        <color auto="1"/>
      </end>
      <top/>
      <bottom style="thin">
        <color auto="1"/>
      </bottom>
      <diagonal/>
    </border>
    <border>
      <start/>
      <end style="medium">
        <color auto="1"/>
      </end>
      <top/>
      <bottom style="thin">
        <color auto="1"/>
      </bottom>
      <diagonal/>
    </border>
    <border>
      <start/>
      <end/>
      <top style="medium">
        <color auto="1"/>
      </top>
      <bottom style="medium">
        <color auto="1"/>
      </bottom>
      <diagonal/>
    </border>
    <border>
      <start style="medium">
        <color auto="1"/>
      </start>
      <end/>
      <top/>
      <bottom/>
      <diagonal/>
    </border>
    <border>
      <start style="medium">
        <color auto="1"/>
      </start>
      <end style="medium">
        <color auto="1"/>
      </end>
      <top/>
      <bottom style="medium">
        <color auto="1"/>
      </bottom>
      <diagonal/>
    </border>
    <border>
      <start/>
      <end style="medium">
        <color auto="1"/>
      </end>
      <top/>
      <bottom style="medium">
        <color auto="1"/>
      </bottom>
      <diagonal/>
    </border>
    <border>
      <start style="medium">
        <color auto="1"/>
      </start>
      <end/>
      <top style="medium">
        <color auto="1"/>
      </top>
      <bottom style="medium">
        <color auto="1"/>
      </bottom>
      <diagonal/>
    </border>
    <border>
      <start/>
      <end style="medium">
        <color auto="1"/>
      </end>
      <top style="medium">
        <color auto="1"/>
      </top>
      <bottom style="medium">
        <color auto="1"/>
      </bottom>
      <diagonal/>
    </border>
    <border>
      <start style="medium">
        <color auto="1"/>
      </start>
      <end style="thin">
        <color auto="1"/>
      </end>
      <top style="medium">
        <color auto="1"/>
      </top>
      <bottom style="medium">
        <color auto="1"/>
      </bottom>
      <diagonal/>
    </border>
    <border>
      <start/>
      <end style="thin">
        <color auto="1"/>
      </end>
      <top style="medium">
        <color auto="1"/>
      </top>
      <bottom style="medium">
        <color auto="1"/>
      </bottom>
      <diagonal/>
    </border>
    <border>
      <start style="medium">
        <color auto="1"/>
      </start>
      <end style="thin">
        <color auto="1"/>
      </end>
      <top/>
      <bottom style="thin">
        <color auto="1"/>
      </bottom>
      <diagonal/>
    </border>
    <border>
      <start/>
      <end style="thin">
        <color auto="1"/>
      </end>
      <top/>
      <bottom style="thin">
        <color auto="1"/>
      </bottom>
      <diagonal/>
    </border>
    <border>
      <start style="medium">
        <color auto="1"/>
      </start>
      <end style="medium">
        <color auto="1"/>
      </end>
      <top style="medium">
        <color auto="1"/>
      </top>
      <bottom style="medium">
        <color auto="1"/>
      </bottom>
      <diagonal/>
    </border>
    <border>
      <start style="medium">
        <color auto="1"/>
      </start>
      <end style="medium">
        <color auto="1"/>
      </end>
      <top/>
      <bottom/>
      <diagonal/>
    </border>
    <border>
      <start/>
      <end style="medium">
        <color auto="1"/>
      </end>
      <top/>
      <bottom/>
      <diagonal/>
    </border>
    <border>
      <start/>
      <end/>
      <top/>
      <bottom style="medium">
        <color auto="1"/>
      </bottom>
      <diagonal/>
    </border>
    <border>
      <start style="medium">
        <color auto="1"/>
      </start>
      <end/>
      <top style="medium">
        <color auto="1"/>
      </top>
      <bottom/>
      <diagonal/>
    </border>
    <border>
      <start/>
      <end/>
      <top style="medium">
        <color auto="1"/>
      </top>
      <bottom/>
      <diagonal/>
    </border>
    <border>
      <start/>
      <end style="medium">
        <color auto="1"/>
      </end>
      <top style="medium">
        <color auto="1"/>
      </top>
      <bottom/>
      <diagonal/>
    </border>
    <border>
      <start style="medium">
        <color auto="1"/>
      </start>
      <end/>
      <top/>
      <bottom style="medium">
        <color auto="1"/>
      </bottom>
      <diagonal/>
    </border>
    <border>
      <start/>
      <end style="medium">
        <color auto="1"/>
      </end>
      <top style="thin">
        <color auto="1"/>
      </top>
      <bottom style="medium">
        <color auto="1"/>
      </bottom>
      <diagonal/>
    </border>
    <border>
      <start style="medium">
        <color auto="1"/>
      </start>
      <end style="thin">
        <color auto="1"/>
      </end>
      <top style="thin">
        <color auto="1"/>
      </top>
      <bottom style="medium">
        <color auto="1"/>
      </bottom>
      <diagonal/>
    </border>
    <border>
      <start/>
      <end style="thin">
        <color auto="1"/>
      </end>
      <top style="thin">
        <color auto="1"/>
      </top>
      <bottom style="medium">
        <color auto="1"/>
      </bottom>
      <diagonal/>
    </border>
    <border>
      <start style="thin">
        <color auto="1"/>
      </start>
      <end style="medium">
        <color auto="1"/>
      </end>
      <top style="medium">
        <color auto="1"/>
      </top>
      <bottom style="medium">
        <color indexed="64"/>
      </bottom>
      <diagonal/>
    </border>
    <border>
      <start style="thin">
        <color indexed="64"/>
      </start>
      <end style="thin">
        <color indexed="64"/>
      </end>
      <top style="thin">
        <color indexed="64"/>
      </top>
      <bottom style="thin">
        <color indexed="64"/>
      </bottom>
      <diagonal/>
    </border>
    <border>
      <start style="medium">
        <color auto="1"/>
      </start>
      <end/>
      <top style="thin">
        <color auto="1"/>
      </top>
      <bottom style="thin">
        <color auto="1"/>
      </bottom>
      <diagonal/>
    </border>
    <border>
      <start style="medium">
        <color auto="1"/>
      </start>
      <end/>
      <top style="medium">
        <color auto="1"/>
      </top>
      <bottom style="thin">
        <color auto="1"/>
      </bottom>
      <diagonal/>
    </border>
  </borders>
  <cellStyleXfs count="356">
    <xf numFmtId="0" fontId="0"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18" fillId="0" borderId="0" applyNumberFormat="0" applyFill="0" applyBorder="0" applyAlignment="0" applyProtection="0"/>
    <xf numFmtId="0" fontId="24" fillId="0" borderId="0"/>
    <xf numFmtId="0" fontId="4" fillId="0" borderId="0"/>
    <xf numFmtId="0" fontId="5" fillId="0" borderId="0"/>
    <xf numFmtId="0" fontId="3" fillId="0" borderId="0"/>
    <xf numFmtId="0" fontId="2" fillId="0" borderId="0"/>
    <xf numFmtId="0" fontId="1" fillId="0" borderId="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xf numFmtId="0" fontId="17" fillId="0" borderId="0" applyNumberFormat="0" applyFill="0" applyBorder="0" applyAlignment="0" applyProtection="0"/>
    <xf numFmtId="0" fontId="18" fillId="0" borderId="0" applyNumberFormat="0" applyFill="0" applyBorder="0" applyAlignment="0" applyProtection="0"/>
  </cellStyleXfs>
  <cellXfs count="144">
    <xf numFmtId="0" fontId="0" fillId="0" borderId="0" xfId="0"/>
    <xf numFmtId="0" fontId="0" fillId="0" borderId="16" xfId="0" applyBorder="1"/>
    <xf numFmtId="0" fontId="0" fillId="0" borderId="0" xfId="0" applyAlignment="1">
      <alignment horizontal="right"/>
    </xf>
    <xf numFmtId="0" fontId="0" fillId="0" borderId="0" xfId="0" applyProtection="1">
      <protection hidden="1"/>
    </xf>
    <xf numFmtId="164" fontId="0" fillId="0" borderId="0" xfId="0" applyNumberFormat="1"/>
    <xf numFmtId="164" fontId="0" fillId="0" borderId="0" xfId="0" applyNumberFormat="1" applyAlignment="1">
      <alignment horizontal="center" vertical="center" wrapText="1"/>
    </xf>
    <xf numFmtId="0" fontId="0" fillId="2" borderId="11" xfId="0" applyFill="1" applyBorder="1"/>
    <xf numFmtId="0" fontId="0" fillId="2" borderId="12" xfId="0" applyFill="1" applyBorder="1"/>
    <xf numFmtId="0" fontId="0" fillId="2" borderId="10" xfId="0" applyFill="1" applyBorder="1"/>
    <xf numFmtId="0" fontId="7" fillId="2" borderId="15" xfId="0" applyFont="1" applyFill="1" applyBorder="1" applyAlignment="1">
      <alignment horizontal="center"/>
    </xf>
    <xf numFmtId="0" fontId="0" fillId="2" borderId="7" xfId="0" applyFill="1" applyBorder="1" applyAlignment="1">
      <alignment horizontal="right"/>
    </xf>
    <xf numFmtId="0" fontId="0" fillId="2" borderId="1" xfId="0" applyFill="1" applyBorder="1" applyAlignment="1">
      <alignment horizontal="right"/>
    </xf>
    <xf numFmtId="0" fontId="0" fillId="2" borderId="3" xfId="0" applyFill="1" applyBorder="1" applyAlignment="1">
      <alignment horizontal="right"/>
    </xf>
    <xf numFmtId="0" fontId="0" fillId="2" borderId="4" xfId="0" applyFill="1" applyBorder="1"/>
    <xf numFmtId="0" fontId="0" fillId="0" borderId="0" xfId="0" applyAlignment="1">
      <alignment vertical="top" textRotation="90"/>
    </xf>
    <xf numFmtId="0" fontId="10" fillId="0" borderId="0" xfId="0" applyFont="1"/>
    <xf numFmtId="0" fontId="0" fillId="0" borderId="19" xfId="0" applyBorder="1"/>
    <xf numFmtId="0" fontId="0" fillId="0" borderId="6" xfId="0" applyBorder="1"/>
    <xf numFmtId="0" fontId="0" fillId="0" borderId="20" xfId="0" applyBorder="1"/>
    <xf numFmtId="0" fontId="0" fillId="0" borderId="21" xfId="0" applyBorder="1"/>
    <xf numFmtId="0" fontId="0" fillId="0" borderId="17" xfId="0" applyBorder="1"/>
    <xf numFmtId="0" fontId="0" fillId="0" borderId="0" xfId="0" applyAlignment="1" applyProtection="1">
      <alignment horizontal="centerContinuous"/>
      <protection hidden="1"/>
    </xf>
    <xf numFmtId="0" fontId="0" fillId="0" borderId="0" xfId="0" applyAlignment="1">
      <alignment horizontal="centerContinuous"/>
    </xf>
    <xf numFmtId="167" fontId="0" fillId="0" borderId="13" xfId="0" applyNumberFormat="1" applyBorder="1" applyProtection="1">
      <protection locked="0"/>
    </xf>
    <xf numFmtId="0" fontId="0" fillId="0" borderId="0" xfId="0" applyAlignment="1">
      <alignment horizontal="center"/>
    </xf>
    <xf numFmtId="167" fontId="13" fillId="0" borderId="16" xfId="0" applyNumberFormat="1" applyFont="1" applyBorder="1" applyAlignment="1">
      <alignment horizontal="center" wrapText="1"/>
    </xf>
    <xf numFmtId="166" fontId="13" fillId="0" borderId="16" xfId="0" applyNumberFormat="1" applyFont="1" applyBorder="1" applyAlignment="1">
      <alignment horizontal="center" vertical="center" wrapText="1"/>
    </xf>
    <xf numFmtId="0" fontId="13" fillId="0" borderId="17" xfId="0" applyFont="1" applyBorder="1" applyAlignment="1">
      <alignment horizontal="center" vertical="center"/>
    </xf>
    <xf numFmtId="0" fontId="14" fillId="0" borderId="16" xfId="0" applyFont="1" applyBorder="1" applyAlignment="1">
      <alignment horizontal="center" vertical="center" wrapText="1"/>
    </xf>
    <xf numFmtId="167" fontId="13" fillId="0" borderId="7" xfId="0" applyNumberFormat="1" applyFont="1" applyBorder="1"/>
    <xf numFmtId="165" fontId="13" fillId="0" borderId="7" xfId="0" applyNumberFormat="1" applyFont="1" applyBorder="1" applyAlignment="1">
      <alignment horizontal="center" vertical="center" wrapText="1"/>
    </xf>
    <xf numFmtId="0" fontId="13" fillId="0" borderId="18" xfId="0" applyFont="1" applyBorder="1" applyAlignment="1">
      <alignment horizontal="center" vertical="center"/>
    </xf>
    <xf numFmtId="0" fontId="14" fillId="0" borderId="7" xfId="0" applyFont="1" applyBorder="1" applyAlignment="1">
      <alignment horizontal="center" vertical="center" wrapText="1"/>
    </xf>
    <xf numFmtId="0" fontId="13" fillId="0" borderId="16" xfId="0" applyFont="1" applyBorder="1" applyAlignment="1">
      <alignment horizontal="center" vertical="center"/>
    </xf>
    <xf numFmtId="167" fontId="15" fillId="0" borderId="16" xfId="0" applyNumberFormat="1" applyFont="1" applyBorder="1" applyAlignment="1">
      <alignment horizontal="center" vertical="center"/>
    </xf>
    <xf numFmtId="18" fontId="15" fillId="0" borderId="16" xfId="0" applyNumberFormat="1" applyFont="1" applyBorder="1" applyAlignment="1">
      <alignment horizontal="center" vertical="center" wrapText="1"/>
    </xf>
    <xf numFmtId="0" fontId="15" fillId="0" borderId="16" xfId="0" applyFont="1" applyBorder="1" applyAlignment="1">
      <alignment horizontal="center" vertical="center" wrapText="1"/>
    </xf>
    <xf numFmtId="167" fontId="12" fillId="0" borderId="0" xfId="0" applyNumberFormat="1" applyFont="1" applyAlignment="1">
      <alignment vertical="top"/>
    </xf>
    <xf numFmtId="0" fontId="9" fillId="0" borderId="0" xfId="0" applyFont="1" applyAlignment="1">
      <alignment horizontal="left" vertical="center"/>
    </xf>
    <xf numFmtId="0" fontId="10" fillId="0" borderId="0" xfId="0" applyFont="1" applyAlignment="1">
      <alignment horizontal="left" vertical="center" wrapText="1"/>
    </xf>
    <xf numFmtId="0" fontId="11" fillId="0" borderId="0" xfId="0" applyFont="1" applyAlignment="1">
      <alignment horizontal="center" vertical="justify"/>
    </xf>
    <xf numFmtId="0" fontId="10" fillId="0" borderId="0" xfId="0" applyFont="1" applyAlignment="1">
      <alignment horizontal="right"/>
    </xf>
    <xf numFmtId="0" fontId="10" fillId="0" borderId="0" xfId="0" applyFont="1" applyAlignment="1">
      <alignment horizontal="left"/>
    </xf>
    <xf numFmtId="0" fontId="5" fillId="2" borderId="3" xfId="0" applyFont="1" applyFill="1" applyBorder="1" applyAlignment="1">
      <alignment horizontal="right"/>
    </xf>
    <xf numFmtId="168" fontId="10" fillId="0" borderId="0" xfId="0" applyNumberFormat="1" applyFont="1" applyAlignment="1">
      <alignment horizontal="center"/>
    </xf>
    <xf numFmtId="0" fontId="10" fillId="0" borderId="0" xfId="0" quotePrefix="1" applyFont="1" applyAlignment="1">
      <alignment horizontal="right" vertical="center"/>
    </xf>
    <xf numFmtId="0" fontId="10" fillId="0" borderId="0" xfId="0" applyFont="1" applyAlignment="1">
      <alignment vertical="center"/>
    </xf>
    <xf numFmtId="167" fontId="0" fillId="0" borderId="24" xfId="0" applyNumberFormat="1" applyBorder="1" applyProtection="1">
      <protection locked="0"/>
    </xf>
    <xf numFmtId="0" fontId="14" fillId="0" borderId="16" xfId="0" applyFont="1" applyBorder="1" applyAlignment="1">
      <alignment horizontal="center" vertical="top" wrapText="1"/>
    </xf>
    <xf numFmtId="0" fontId="6" fillId="0" borderId="0" xfId="0" applyFont="1" applyAlignment="1">
      <alignment wrapText="1"/>
    </xf>
    <xf numFmtId="0" fontId="10" fillId="0" borderId="0" xfId="0" applyFont="1" applyAlignment="1">
      <alignment horizontal="center"/>
    </xf>
    <xf numFmtId="18" fontId="23" fillId="0" borderId="0" xfId="0" applyNumberFormat="1" applyFont="1" applyAlignment="1">
      <alignment horizontal="center" wrapText="1"/>
    </xf>
    <xf numFmtId="0" fontId="10" fillId="0" borderId="0" xfId="0" applyFont="1" applyAlignment="1">
      <alignment horizontal="left" vertical="center"/>
    </xf>
    <xf numFmtId="169" fontId="10" fillId="0" borderId="0" xfId="0" applyNumberFormat="1" applyFont="1" applyAlignment="1">
      <alignment horizontal="left" vertical="center"/>
    </xf>
    <xf numFmtId="0" fontId="27" fillId="2" borderId="12" xfId="0" applyFont="1" applyFill="1" applyBorder="1"/>
    <xf numFmtId="0" fontId="27" fillId="2" borderId="10" xfId="0" applyFont="1" applyFill="1" applyBorder="1"/>
    <xf numFmtId="167" fontId="0" fillId="0" borderId="22" xfId="0" applyNumberFormat="1" applyBorder="1" applyProtection="1">
      <protection locked="0"/>
    </xf>
    <xf numFmtId="0" fontId="13" fillId="0" borderId="18" xfId="0" applyFont="1" applyBorder="1" applyProtection="1">
      <protection locked="0"/>
    </xf>
    <xf numFmtId="49" fontId="13" fillId="0" borderId="18" xfId="0" applyNumberFormat="1" applyFont="1" applyBorder="1" applyAlignment="1" applyProtection="1">
      <alignment horizontal="center"/>
      <protection locked="0"/>
    </xf>
    <xf numFmtId="49" fontId="13" fillId="0" borderId="8" xfId="0" applyNumberFormat="1" applyFont="1" applyBorder="1" applyAlignment="1" applyProtection="1">
      <alignment horizontal="center"/>
      <protection locked="0"/>
    </xf>
    <xf numFmtId="0" fontId="13" fillId="0" borderId="2" xfId="0" applyFont="1" applyBorder="1" applyProtection="1">
      <protection locked="0"/>
    </xf>
    <xf numFmtId="1" fontId="13" fillId="0" borderId="4" xfId="0" applyNumberFormat="1" applyFont="1" applyBorder="1" applyProtection="1">
      <protection locked="0"/>
    </xf>
    <xf numFmtId="15" fontId="13" fillId="0" borderId="4" xfId="0" applyNumberFormat="1" applyFont="1" applyBorder="1" applyProtection="1">
      <protection locked="0"/>
    </xf>
    <xf numFmtId="20" fontId="13" fillId="0" borderId="8" xfId="0" applyNumberFormat="1" applyFont="1" applyBorder="1" applyProtection="1">
      <protection locked="0"/>
    </xf>
    <xf numFmtId="0" fontId="28" fillId="0" borderId="0" xfId="0" applyFont="1"/>
    <xf numFmtId="0" fontId="7" fillId="2" borderId="15" xfId="0" applyFont="1" applyFill="1" applyBorder="1" applyAlignment="1">
      <alignment horizontal="center" vertical="center" wrapText="1"/>
    </xf>
    <xf numFmtId="0" fontId="5" fillId="0" borderId="14" xfId="0" applyFont="1" applyBorder="1" applyProtection="1">
      <protection locked="0"/>
    </xf>
    <xf numFmtId="49" fontId="5" fillId="0" borderId="14" xfId="0" applyNumberFormat="1" applyFont="1" applyBorder="1" applyAlignment="1" applyProtection="1">
      <alignment horizontal="center"/>
      <protection locked="0"/>
    </xf>
    <xf numFmtId="49" fontId="5" fillId="0" borderId="4" xfId="0" applyNumberFormat="1" applyFont="1" applyBorder="1" applyAlignment="1" applyProtection="1">
      <alignment horizontal="center"/>
      <protection locked="0"/>
    </xf>
    <xf numFmtId="0" fontId="5" fillId="0" borderId="25" xfId="0" applyFont="1" applyBorder="1" applyProtection="1">
      <protection locked="0"/>
    </xf>
    <xf numFmtId="49" fontId="5" fillId="0" borderId="25" xfId="0" applyNumberFormat="1" applyFont="1" applyBorder="1" applyAlignment="1" applyProtection="1">
      <alignment horizontal="center"/>
      <protection locked="0"/>
    </xf>
    <xf numFmtId="49" fontId="5" fillId="0" borderId="23" xfId="0" applyNumberFormat="1" applyFont="1" applyBorder="1" applyAlignment="1" applyProtection="1">
      <alignment horizontal="center"/>
      <protection locked="0"/>
    </xf>
    <xf numFmtId="167" fontId="0" fillId="0" borderId="0" xfId="0" applyNumberFormat="1"/>
    <xf numFmtId="0" fontId="14" fillId="0" borderId="7" xfId="0" applyFont="1" applyBorder="1" applyAlignment="1">
      <alignment horizontal="center" vertical="top" wrapText="1"/>
    </xf>
    <xf numFmtId="2" fontId="0" fillId="0" borderId="0" xfId="0" applyNumberFormat="1"/>
    <xf numFmtId="0" fontId="9" fillId="0" borderId="0" xfId="0" applyFont="1" applyAlignment="1">
      <alignment horizontal="center" wrapText="1"/>
    </xf>
    <xf numFmtId="0" fontId="9" fillId="0" borderId="0" xfId="0" applyFont="1"/>
    <xf numFmtId="0" fontId="5" fillId="0" borderId="0" xfId="0" applyFont="1"/>
    <xf numFmtId="0" fontId="27" fillId="2" borderId="26" xfId="0" applyFont="1" applyFill="1" applyBorder="1"/>
    <xf numFmtId="0" fontId="0" fillId="2" borderId="28" xfId="0" applyFill="1" applyBorder="1" applyAlignment="1">
      <alignment horizontal="right"/>
    </xf>
    <xf numFmtId="15" fontId="13" fillId="0" borderId="27" xfId="0" applyNumberFormat="1" applyFont="1" applyBorder="1" applyProtection="1">
      <protection locked="0"/>
    </xf>
    <xf numFmtId="0" fontId="5" fillId="2" borderId="29" xfId="0" applyFont="1" applyFill="1" applyBorder="1" applyAlignment="1">
      <alignment horizontal="right"/>
    </xf>
    <xf numFmtId="0" fontId="6" fillId="0" borderId="0" xfId="0" applyFont="1" applyAlignment="1">
      <alignment vertical="top" wrapText="1"/>
    </xf>
    <xf numFmtId="0" fontId="5" fillId="0" borderId="0" xfId="0" applyFont="1" applyAlignment="1">
      <alignment wrapText="1"/>
    </xf>
    <xf numFmtId="0" fontId="0" fillId="0" borderId="0" xfId="0" applyProtection="1">
      <protection locked="0"/>
    </xf>
    <xf numFmtId="0" fontId="14" fillId="0" borderId="16" xfId="0" applyFont="1" applyBorder="1" applyAlignment="1" applyProtection="1">
      <alignment horizontal="center" vertical="center" wrapText="1"/>
      <protection locked="0"/>
    </xf>
    <xf numFmtId="0" fontId="7" fillId="0" borderId="16" xfId="0" applyFont="1" applyBorder="1" applyAlignment="1" applyProtection="1">
      <alignment horizontal="center" wrapText="1"/>
      <protection locked="0"/>
    </xf>
    <xf numFmtId="0" fontId="14" fillId="0" borderId="16" xfId="0" applyFont="1" applyBorder="1" applyAlignment="1" applyProtection="1">
      <alignment horizontal="center" vertical="top" wrapText="1"/>
      <protection locked="0"/>
    </xf>
    <xf numFmtId="0" fontId="7" fillId="0" borderId="7" xfId="0" applyFont="1" applyBorder="1" applyProtection="1">
      <protection locked="0"/>
    </xf>
    <xf numFmtId="0" fontId="14" fillId="0" borderId="7" xfId="0" applyFont="1" applyBorder="1" applyAlignment="1" applyProtection="1">
      <alignment horizontal="center" vertical="center" wrapText="1"/>
      <protection locked="0"/>
    </xf>
    <xf numFmtId="168" fontId="10" fillId="0" borderId="18" xfId="0" applyNumberFormat="1" applyFont="1" applyBorder="1" applyAlignment="1" applyProtection="1">
      <alignment horizontal="center"/>
      <protection locked="0"/>
    </xf>
    <xf numFmtId="15" fontId="32" fillId="0" borderId="4" xfId="0" applyNumberFormat="1" applyFont="1" applyBorder="1" applyAlignment="1" applyProtection="1">
      <alignment horizontal="center"/>
      <protection locked="0"/>
    </xf>
    <xf numFmtId="0" fontId="31" fillId="2" borderId="29" xfId="0" applyFont="1" applyFill="1" applyBorder="1" applyAlignment="1">
      <alignment horizontal="right"/>
    </xf>
    <xf numFmtId="15" fontId="31" fillId="2" borderId="2" xfId="0" applyNumberFormat="1" applyFont="1" applyFill="1" applyBorder="1" applyAlignment="1">
      <alignment horizontal="left"/>
    </xf>
    <xf numFmtId="0" fontId="31" fillId="0" borderId="0" xfId="0" applyFont="1"/>
    <xf numFmtId="0" fontId="31" fillId="0" borderId="0" xfId="0" applyFont="1" applyAlignment="1">
      <alignment wrapText="1"/>
    </xf>
    <xf numFmtId="167" fontId="0" fillId="0" borderId="13" xfId="0" applyNumberFormat="1" applyBorder="1"/>
    <xf numFmtId="49" fontId="5" fillId="0" borderId="14" xfId="0" quotePrefix="1" applyNumberFormat="1" applyFont="1" applyBorder="1" applyAlignment="1" applyProtection="1">
      <alignment horizontal="center"/>
      <protection locked="0"/>
    </xf>
    <xf numFmtId="0" fontId="5" fillId="2" borderId="9" xfId="0" applyFont="1" applyFill="1" applyBorder="1" applyAlignment="1">
      <alignment horizontal="center"/>
    </xf>
    <xf numFmtId="0" fontId="0" fillId="2" borderId="5" xfId="0" applyFill="1" applyBorder="1" applyAlignment="1">
      <alignment horizontal="center"/>
    </xf>
    <xf numFmtId="0" fontId="0" fillId="2" borderId="10" xfId="0" applyFill="1" applyBorder="1" applyAlignment="1">
      <alignment horizontal="center"/>
    </xf>
    <xf numFmtId="0" fontId="31" fillId="0" borderId="0" xfId="0" applyFont="1" applyAlignment="1">
      <alignment horizontal="left" vertical="top" wrapText="1"/>
    </xf>
    <xf numFmtId="0" fontId="30" fillId="0" borderId="0" xfId="0" applyFont="1" applyAlignment="1">
      <alignment horizontal="left"/>
    </xf>
    <xf numFmtId="0" fontId="13" fillId="0" borderId="9" xfId="0" applyFont="1" applyBorder="1" applyAlignment="1" applyProtection="1">
      <alignment horizontal="left"/>
      <protection locked="0"/>
    </xf>
    <xf numFmtId="0" fontId="13" fillId="0" borderId="5" xfId="0" applyFont="1" applyBorder="1" applyAlignment="1" applyProtection="1">
      <alignment horizontal="left"/>
      <protection locked="0"/>
    </xf>
    <xf numFmtId="0" fontId="13" fillId="0" borderId="10" xfId="0" applyFont="1" applyBorder="1" applyAlignment="1" applyProtection="1">
      <alignment horizontal="left"/>
      <protection locked="0"/>
    </xf>
    <xf numFmtId="0" fontId="28" fillId="0" borderId="0" xfId="0" applyFont="1" applyAlignment="1">
      <alignment horizontal="right"/>
    </xf>
    <xf numFmtId="0" fontId="0" fillId="2" borderId="9" xfId="0" applyFill="1" applyBorder="1" applyAlignment="1">
      <alignment horizontal="center"/>
    </xf>
    <xf numFmtId="0" fontId="7" fillId="0" borderId="0" xfId="0" applyFont="1" applyAlignment="1">
      <alignment horizontal="center" vertical="top"/>
    </xf>
    <xf numFmtId="0" fontId="10" fillId="0" borderId="0" xfId="0" applyFont="1" applyAlignment="1">
      <alignment horizontal="right" vertical="center"/>
    </xf>
    <xf numFmtId="0" fontId="6" fillId="0" borderId="0" xfId="0" applyFont="1" applyAlignment="1">
      <alignment horizontal="center" wrapText="1"/>
    </xf>
    <xf numFmtId="0" fontId="10" fillId="0" borderId="0" xfId="0" applyFont="1" applyAlignment="1">
      <alignment horizontal="center" vertical="center"/>
    </xf>
    <xf numFmtId="0" fontId="5" fillId="0" borderId="0" xfId="0" applyFont="1" applyAlignment="1">
      <alignment horizontal="right" vertical="top"/>
    </xf>
    <xf numFmtId="0" fontId="0" fillId="0" borderId="0" xfId="0" applyAlignment="1">
      <alignment horizontal="right" vertical="top"/>
    </xf>
    <xf numFmtId="15" fontId="0" fillId="0" borderId="0" xfId="0" applyNumberFormat="1" applyAlignment="1">
      <alignment horizontal="left" vertical="top"/>
    </xf>
    <xf numFmtId="0" fontId="0" fillId="0" borderId="0" xfId="0" applyAlignment="1">
      <alignment horizontal="left" vertical="top"/>
    </xf>
    <xf numFmtId="0" fontId="21" fillId="0" borderId="18" xfId="0" applyFont="1" applyBorder="1" applyAlignment="1">
      <alignment horizontal="center" vertical="center"/>
    </xf>
    <xf numFmtId="167" fontId="12" fillId="0" borderId="20" xfId="0" applyNumberFormat="1" applyFont="1" applyBorder="1" applyAlignment="1">
      <alignment horizontal="center" vertical="center"/>
    </xf>
    <xf numFmtId="0" fontId="10" fillId="0" borderId="0" xfId="0" applyFont="1" applyAlignment="1">
      <alignment horizontal="center" vertical="center" wrapText="1"/>
    </xf>
    <xf numFmtId="0" fontId="10" fillId="0" borderId="5" xfId="0" applyFont="1" applyBorder="1" applyAlignment="1" applyProtection="1">
      <alignment horizontal="left"/>
      <protection locked="0"/>
    </xf>
    <xf numFmtId="0" fontId="12" fillId="0" borderId="18" xfId="0" applyFont="1" applyBorder="1" applyAlignment="1" applyProtection="1">
      <alignment horizontal="left"/>
      <protection locked="0"/>
    </xf>
    <xf numFmtId="168" fontId="10" fillId="0" borderId="0" xfId="0" applyNumberFormat="1" applyFont="1" applyAlignment="1">
      <alignment horizontal="left" vertical="center"/>
    </xf>
    <xf numFmtId="0" fontId="10" fillId="0" borderId="18" xfId="0" applyFont="1" applyBorder="1" applyAlignment="1" applyProtection="1">
      <alignment horizontal="left"/>
      <protection locked="0"/>
    </xf>
    <xf numFmtId="0" fontId="5" fillId="0" borderId="22" xfId="0" applyFont="1" applyBorder="1" applyAlignment="1">
      <alignment horizontal="right"/>
    </xf>
    <xf numFmtId="0" fontId="0" fillId="0" borderId="18" xfId="0" applyBorder="1" applyAlignment="1">
      <alignment horizontal="right"/>
    </xf>
    <xf numFmtId="0" fontId="0" fillId="0" borderId="8" xfId="0" applyBorder="1" applyAlignment="1">
      <alignment horizontal="right"/>
    </xf>
    <xf numFmtId="15" fontId="0" fillId="0" borderId="22" xfId="0" applyNumberFormat="1" applyBorder="1" applyAlignment="1">
      <alignment horizontal="left"/>
    </xf>
    <xf numFmtId="0" fontId="0" fillId="0" borderId="18" xfId="0" applyBorder="1" applyAlignment="1">
      <alignment horizontal="left"/>
    </xf>
    <xf numFmtId="0" fontId="0" fillId="0" borderId="8" xfId="0" applyBorder="1" applyAlignment="1">
      <alignment horizontal="left"/>
    </xf>
    <xf numFmtId="0" fontId="10" fillId="0" borderId="18" xfId="0" applyFont="1" applyBorder="1" applyProtection="1">
      <protection locked="0"/>
    </xf>
    <xf numFmtId="168" fontId="10" fillId="0" borderId="18" xfId="0" applyNumberFormat="1" applyFont="1" applyBorder="1" applyAlignment="1" applyProtection="1">
      <alignment horizontal="center"/>
      <protection locked="0"/>
    </xf>
    <xf numFmtId="0" fontId="8" fillId="0" borderId="5" xfId="0" applyFont="1" applyBorder="1" applyAlignment="1" applyProtection="1">
      <alignment horizontal="left"/>
      <protection locked="0"/>
    </xf>
    <xf numFmtId="0" fontId="6" fillId="0" borderId="20" xfId="0" applyFont="1" applyBorder="1" applyAlignment="1">
      <alignment horizontal="center" vertical="top"/>
    </xf>
    <xf numFmtId="0" fontId="9" fillId="0" borderId="0" xfId="0" applyFont="1" applyAlignment="1">
      <alignment horizontal="center"/>
    </xf>
    <xf numFmtId="18" fontId="23" fillId="0" borderId="18" xfId="0" applyNumberFormat="1" applyFont="1" applyBorder="1" applyAlignment="1">
      <alignment horizontal="center" wrapText="1"/>
    </xf>
    <xf numFmtId="0" fontId="19" fillId="0" borderId="0" xfId="0" applyFont="1" applyAlignment="1">
      <alignment horizontal="center" vertical="top"/>
    </xf>
    <xf numFmtId="0" fontId="19" fillId="0" borderId="0" xfId="0" applyFont="1" applyAlignment="1">
      <alignment horizontal="center"/>
    </xf>
    <xf numFmtId="0" fontId="0" fillId="0" borderId="18" xfId="0" applyBorder="1" applyAlignment="1" applyProtection="1">
      <alignment horizontal="left"/>
      <protection locked="0"/>
    </xf>
    <xf numFmtId="0" fontId="29" fillId="0" borderId="18" xfId="0" applyFont="1" applyBorder="1" applyAlignment="1" applyProtection="1">
      <alignment horizontal="left"/>
      <protection locked="0"/>
    </xf>
    <xf numFmtId="0" fontId="7" fillId="0" borderId="18" xfId="0" applyFont="1" applyBorder="1" applyAlignment="1" applyProtection="1">
      <alignment horizontal="center" wrapText="1"/>
      <protection locked="0"/>
    </xf>
    <xf numFmtId="168" fontId="10" fillId="0" borderId="18" xfId="0" applyNumberFormat="1" applyFont="1" applyBorder="1" applyAlignment="1" applyProtection="1">
      <alignment horizontal="left"/>
      <protection locked="0"/>
    </xf>
    <xf numFmtId="169" fontId="12" fillId="0" borderId="5" xfId="0" applyNumberFormat="1" applyFont="1" applyBorder="1" applyAlignment="1" applyProtection="1">
      <alignment horizontal="left"/>
      <protection locked="0"/>
    </xf>
    <xf numFmtId="168" fontId="10" fillId="0" borderId="18" xfId="0" applyNumberFormat="1" applyFont="1" applyBorder="1" applyAlignment="1">
      <alignment horizontal="center"/>
    </xf>
    <xf numFmtId="0" fontId="7" fillId="0" borderId="18" xfId="0" applyFont="1" applyBorder="1" applyAlignment="1" applyProtection="1">
      <alignment horizontal="left" wrapText="1"/>
      <protection locked="0"/>
    </xf>
  </cellXfs>
  <cellStyles count="356">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5"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4" builtinId="8" hidden="1"/>
    <cellStyle name="Normal" xfId="0" builtinId="0"/>
    <cellStyle name="Normal 2" xfId="282" xr:uid="{00000000-0005-0000-0000-00005E010000}"/>
    <cellStyle name="Normal 3" xfId="283" xr:uid="{00000000-0005-0000-0000-00005F010000}"/>
    <cellStyle name="Normal 3 2" xfId="285" xr:uid="{00000000-0005-0000-0000-000060010000}"/>
    <cellStyle name="Normal 3 2 2" xfId="286" xr:uid="{00000000-0005-0000-0000-000061010000}"/>
    <cellStyle name="Normal 3 2 3" xfId="287" xr:uid="{00000000-0005-0000-0000-000062010000}"/>
    <cellStyle name="Normal 4" xfId="284" xr:uid="{00000000-0005-0000-0000-000063010000}"/>
  </cellStyles>
  <dxfs count="15">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start/>
        <end/>
        <top/>
        <bottom/>
      </border>
    </dxf>
    <dxf>
      <font>
        <color theme="0"/>
      </font>
      <fill>
        <patternFill patternType="none">
          <bgColor auto="1"/>
        </patternFill>
      </fill>
      <border>
        <start/>
        <end/>
        <top/>
        <bottom/>
      </border>
    </dxf>
    <dxf>
      <font>
        <color theme="0"/>
      </font>
      <fill>
        <patternFill patternType="none">
          <bgColor auto="1"/>
        </patternFill>
      </fill>
    </dxf>
    <dxf>
      <font>
        <color theme="0"/>
      </font>
      <fill>
        <patternFill patternType="none">
          <bgColor auto="1"/>
        </patternFill>
      </fill>
    </dxf>
    <dxf>
      <font>
        <color theme="0"/>
      </font>
      <fill>
        <patternFill patternType="none">
          <bgColor auto="1"/>
        </patternFill>
      </fill>
      <border>
        <start/>
        <end/>
        <top/>
        <bottom/>
      </border>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purl.oclc.org/ooxml/officeDocument/relationships/sharedStrings" Target="sharedStrings.xml"/><Relationship Id="rId3" Type="http://purl.oclc.org/ooxml/officeDocument/relationships/worksheet" Target="worksheets/sheet3.xml"/><Relationship Id="rId7" Type="http://purl.oclc.org/ooxml/officeDocument/relationships/styles" Target="styles.xml"/><Relationship Id="rId2" Type="http://purl.oclc.org/ooxml/officeDocument/relationships/worksheet" Target="worksheets/sheet2.xml"/><Relationship Id="rId1" Type="http://purl.oclc.org/ooxml/officeDocument/relationships/worksheet" Target="worksheets/sheet1.xml"/><Relationship Id="rId6" Type="http://purl.oclc.org/ooxml/officeDocument/relationships/theme" Target="theme/theme1.xml"/><Relationship Id="rId5" Type="http://purl.oclc.org/ooxml/officeDocument/relationships/worksheet" Target="worksheets/sheet5.xml"/><Relationship Id="rId4" Type="http://purl.oclc.org/ooxml/officeDocument/relationships/worksheet" Target="worksheets/sheet4.xml"/><Relationship Id="rId9" Type="http://purl.oclc.org/ooxml/officeDocument/relationships/calcChain" Target="calcChain.xml"/></Relationships>
</file>

<file path=xl/drawings/_rels/drawing2.xml.rels><?xml version="1.0" encoding="UTF-8" standalone="yes"?>
<Relationships xmlns="http://schemas.openxmlformats.org/package/2006/relationships"><Relationship Id="rId1" Type="http://purl.oclc.org/ooxml/officeDocument/relationships/image" Target="../media/image1.png"/></Relationships>
</file>

<file path=xl/drawings/_rels/drawing3.xml.rels><?xml version="1.0" encoding="UTF-8" standalone="yes"?>
<Relationships xmlns="http://schemas.openxmlformats.org/package/2006/relationships"><Relationship Id="rId1" Type="http://purl.oclc.org/ooxml/officeDocument/relationships/image" Target="../media/image1.png"/></Relationships>
</file>

<file path=xl/drawings/_rels/drawing4.xml.rels><?xml version="1.0" encoding="UTF-8" standalone="yes"?>
<Relationships xmlns="http://schemas.openxmlformats.org/package/2006/relationships"><Relationship Id="rId1" Type="http://purl.oclc.org/ooxml/officeDocument/relationships/image" Target="../media/image1.png"/></Relationships>
</file>

<file path=xl/drawings/_rels/drawing5.xml.rels><?xml version="1.0" encoding="UTF-8" standalone="yes"?>
<Relationships xmlns="http://schemas.openxmlformats.org/package/2006/relationships"><Relationship Id="rId1" Type="http://purl.oclc.org/ooxml/officeDocument/relationships/image" Target="../media/image1.png"/></Relationships>
</file>

<file path=xl/drawings/drawing1.xml><?xml version="1.0" encoding="utf-8"?>
<xdr:wsDr xmlns:xdr="http://purl.oclc.org/ooxml/drawingml/spreadsheetDrawing" xmlns:a="http://purl.oclc.org/ooxml/drawingml/main">
  <mc:AlternateContent xmlns:mc="http://schemas.openxmlformats.org/markup-compatibility/2006">
    <mc:Choice xmlns:v="urn:schemas-microsoft-com:vml" Requires="v"/>
    <mc:Fallback>
      <xdr:twoCellAnchor editAs="absolute">
        <xdr:from>
          <xdr:col>3</xdr:col>
          <xdr:colOff>165100</xdr:colOff>
          <xdr:row>2</xdr:row>
          <xdr:rowOff>38100</xdr:rowOff>
        </xdr:from>
        <xdr:to>
          <xdr:col>4</xdr:col>
          <xdr:colOff>838200</xdr:colOff>
          <xdr:row>6</xdr:row>
          <xdr:rowOff>165100</xdr:rowOff>
        </xdr:to>
        <xdr:sp macro="" textlink="">
          <xdr:nvSpPr>
            <xdr:cNvPr id="1025" name="Comment 10" hidden="1">
              <a:extLst>
                <a:ext uri="{FF2B5EF4-FFF2-40B4-BE49-F238E27FC236}">
                  <a16:creationId xmlns:a16="http://schemas.microsoft.com/office/drawing/2014/main" id="{A3725F4B-D39A-7C43-8176-7068EB31759F}"/>
                </a:ext>
              </a:extLst>
            </xdr:cNvPr>
            <xdr:cNvSpPr txBox="1">
              <a:spLocks noChangeArrowheads="1"/>
            </xdr:cNvSpPr>
          </xdr:nvSpPr>
          <xdr:spPr bwMode="auto">
            <a:xfrm>
              <a:off x="2247900" y="457200"/>
              <a:ext cx="1308100" cy="8636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r>
                <a:rPr lang="en-US" sz="1000" b="0" i="0" u="none" strike="noStrike" baseline="0%">
                  <a:solidFill>
                    <a:srgbClr val="000000"/>
                  </a:solidFill>
                  <a:latin typeface="Tahoma" pitchFamily="2" charset="0"/>
                  <a:ea typeface="Tahoma" pitchFamily="2" charset="0"/>
                  <a:cs typeface="Tahoma" pitchFamily="2" charset="0"/>
                </a:rPr>
                <a:t>Revision date of the brevet details on this sheet</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4</xdr:row>
          <xdr:rowOff>38100</xdr:rowOff>
        </xdr:from>
        <xdr:to>
          <xdr:col>4</xdr:col>
          <xdr:colOff>825500</xdr:colOff>
          <xdr:row>7</xdr:row>
          <xdr:rowOff>25400</xdr:rowOff>
        </xdr:to>
        <xdr:sp macro="" textlink="">
          <xdr:nvSpPr>
            <xdr:cNvPr id="1026" name="Comment 7" hidden="1">
              <a:extLst>
                <a:ext uri="{FF2B5EF4-FFF2-40B4-BE49-F238E27FC236}">
                  <a16:creationId xmlns:a16="http://schemas.microsoft.com/office/drawing/2014/main" id="{F4FA19DD-A187-8845-B261-773384C56B90}"/>
                </a:ext>
              </a:extLst>
            </xdr:cNvPr>
            <xdr:cNvSpPr txBox="1">
              <a:spLocks noChangeArrowheads="1"/>
            </xdr:cNvSpPr>
          </xdr:nvSpPr>
          <xdr:spPr bwMode="auto">
            <a:xfrm>
              <a:off x="2247900" y="787400"/>
              <a:ext cx="1295400" cy="5715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Nominal ACP distance</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eg 200, 300, 400, 600</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5</xdr:row>
          <xdr:rowOff>76200</xdr:rowOff>
        </xdr:from>
        <xdr:to>
          <xdr:col>4</xdr:col>
          <xdr:colOff>927100</xdr:colOff>
          <xdr:row>7</xdr:row>
          <xdr:rowOff>114300</xdr:rowOff>
        </xdr:to>
        <xdr:sp macro="" textlink="">
          <xdr:nvSpPr>
            <xdr:cNvPr id="1027" name="Comment 3" hidden="1">
              <a:extLst>
                <a:ext uri="{FF2B5EF4-FFF2-40B4-BE49-F238E27FC236}">
                  <a16:creationId xmlns:a16="http://schemas.microsoft.com/office/drawing/2014/main" id="{559DF838-EEE0-584D-8087-DA0352A0B6E4}"/>
                </a:ext>
              </a:extLst>
            </xdr:cNvPr>
            <xdr:cNvSpPr txBox="1">
              <a:spLocks noChangeArrowheads="1"/>
            </xdr:cNvSpPr>
          </xdr:nvSpPr>
          <xdr:spPr bwMode="auto">
            <a:xfrm>
              <a:off x="2247900" y="1003300"/>
              <a:ext cx="1397000" cy="444500"/>
            </a:xfrm>
            <a:prstGeom prst="rect">
              <a:avLst/>
            </a:prstGeom>
            <a:solidFill>
              <a:srgbClr val="FFFFA1"/>
            </a:solidFill>
            <a:ln w="9525">
              <a:solidFill>
                <a:srgbClr val="000000"/>
              </a:solidFill>
              <a:miter lim="800%"/>
              <a:headEnd/>
              <a:tailEnd/>
            </a:ln>
            <a:effectLst>
              <a:outerShdw dist="35921" dir="2700000" algn="ctr" rotWithShape="0">
                <a:srgbClr val="808080"/>
              </a:outerShdw>
            </a:effectLst>
            <a:extLst>
              <a:ext uri="{53640926-AAD7-44D8-BBD7-CCE9431645EC}">
                <a14:shadowObscured xmlns:a14="http://schemas.microsoft.com/office/drawing/2010/main" val="1"/>
              </a:ext>
            </a:extLst>
          </xdr:spPr>
          <xdr:txBody>
            <a:bodyPr vertOverflow="clip" wrap="square" lIns="18288" tIns="18288" rIns="0" bIns="0" anchor="t" upright="1"/>
            <a:lstStyle/>
            <a:p>
              <a:pPr algn="l" rtl="0">
                <a:defRPr sz="1000"/>
              </a:pPr>
              <a:r>
                <a:rPr lang="en-US" sz="800" b="0" i="0" u="none" strike="noStrike" baseline="0%">
                  <a:solidFill>
                    <a:srgbClr val="000000"/>
                  </a:solidFill>
                  <a:latin typeface="Tahoma" pitchFamily="2" charset="0"/>
                  <a:ea typeface="Tahoma" pitchFamily="2" charset="0"/>
                  <a:cs typeface="Tahoma" pitchFamily="2" charset="0"/>
                </a:rPr>
                <a:t>Autocalculated based on ACP specified times</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7</xdr:row>
          <xdr:rowOff>114300</xdr:rowOff>
        </xdr:from>
        <xdr:to>
          <xdr:col>4</xdr:col>
          <xdr:colOff>825500</xdr:colOff>
          <xdr:row>12</xdr:row>
          <xdr:rowOff>203200</xdr:rowOff>
        </xdr:to>
        <xdr:sp macro="" textlink="">
          <xdr:nvSpPr>
            <xdr:cNvPr id="1028" name="Comment 6" hidden="1">
              <a:extLst>
                <a:ext uri="{FF2B5EF4-FFF2-40B4-BE49-F238E27FC236}">
                  <a16:creationId xmlns:a16="http://schemas.microsoft.com/office/drawing/2014/main" id="{D40F9B85-FDDD-3741-93C4-D20243A07A62}"/>
                </a:ext>
              </a:extLst>
            </xdr:cNvPr>
            <xdr:cNvSpPr txBox="1">
              <a:spLocks noChangeArrowheads="1"/>
            </xdr:cNvSpPr>
          </xdr:nvSpPr>
          <xdr:spPr bwMode="auto">
            <a:xfrm>
              <a:off x="2247900" y="1447800"/>
              <a:ext cx="1295400" cy="1092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On event page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7</xdr:row>
          <xdr:rowOff>63500</xdr:rowOff>
        </xdr:from>
        <xdr:to>
          <xdr:col>4</xdr:col>
          <xdr:colOff>825500</xdr:colOff>
          <xdr:row>12</xdr:row>
          <xdr:rowOff>25400</xdr:rowOff>
        </xdr:to>
        <xdr:sp macro="" textlink="">
          <xdr:nvSpPr>
            <xdr:cNvPr id="1029" name="Comment 4" hidden="1">
              <a:extLst>
                <a:ext uri="{FF2B5EF4-FFF2-40B4-BE49-F238E27FC236}">
                  <a16:creationId xmlns:a16="http://schemas.microsoft.com/office/drawing/2014/main" id="{95AD4302-47DB-FF4A-802A-70A08DEE72F9}"/>
                </a:ext>
              </a:extLst>
            </xdr:cNvPr>
            <xdr:cNvSpPr txBox="1">
              <a:spLocks noChangeArrowheads="1"/>
            </xdr:cNvSpPr>
          </xdr:nvSpPr>
          <xdr:spPr bwMode="auto">
            <a:xfrm>
              <a:off x="2247900" y="1397000"/>
              <a:ext cx="1295400" cy="9652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Official ACP date</a:t>
              </a: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8</xdr:row>
          <xdr:rowOff>127000</xdr:rowOff>
        </xdr:from>
        <xdr:to>
          <xdr:col>4</xdr:col>
          <xdr:colOff>825500</xdr:colOff>
          <xdr:row>14</xdr:row>
          <xdr:rowOff>127000</xdr:rowOff>
        </xdr:to>
        <xdr:sp macro="" textlink="">
          <xdr:nvSpPr>
            <xdr:cNvPr id="1030" name="Comment 8" hidden="1">
              <a:extLst>
                <a:ext uri="{FF2B5EF4-FFF2-40B4-BE49-F238E27FC236}">
                  <a16:creationId xmlns:a16="http://schemas.microsoft.com/office/drawing/2014/main" id="{AF40A9E9-3C70-944E-B35D-470F227D7A3D}"/>
                </a:ext>
              </a:extLst>
            </xdr:cNvPr>
            <xdr:cNvSpPr txBox="1">
              <a:spLocks noChangeArrowheads="1"/>
            </xdr:cNvSpPr>
          </xdr:nvSpPr>
          <xdr:spPr bwMode="auto">
            <a:xfrm>
              <a:off x="2247900" y="1701800"/>
              <a:ext cx="1295400" cy="1181100"/>
            </a:xfrm>
            <a:prstGeom prst="rect">
              <a:avLst/>
            </a:prstGeom>
            <a:solidFill>
              <a:srgbClr val="FFFFE1"/>
            </a:solidFill>
            <a:ln w="9525">
              <a:solidFill>
                <a:srgbClr val="000000"/>
              </a:solidFill>
              <a:miter lim="8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Ride date</a:t>
              </a:r>
            </a:p>
            <a:p>
              <a:pPr algn="l" rtl="0">
                <a:defRPr sz="1000"/>
              </a:pPr>
              <a:endParaRPr lang="en-US" sz="1000" b="0" i="0" u="none" strike="noStrike" baseline="0%">
                <a:solidFill>
                  <a:srgbClr val="000000"/>
                </a:solidFill>
                <a:latin typeface="Tahoma" pitchFamily="2" charset="0"/>
                <a:ea typeface="Tahoma" pitchFamily="2" charset="0"/>
                <a:cs typeface="Tahoma" pitchFamily="2" charset="0"/>
              </a:endParaRPr>
            </a:p>
          </xdr:txBody>
        </xdr:sp>
        <xdr:clientData/>
      </xdr:twoCellAnchor>
    </mc:Fallback>
  </mc:AlternateContent>
  <mc:AlternateContent xmlns:mc="http://schemas.openxmlformats.org/markup-compatibility/2006">
    <mc:Choice xmlns:v="urn:schemas-microsoft-com:vml" Requires="v"/>
    <mc:Fallback>
      <xdr:twoCellAnchor editAs="absolute">
        <xdr:from>
          <xdr:col>3</xdr:col>
          <xdr:colOff>165100</xdr:colOff>
          <xdr:row>11</xdr:row>
          <xdr:rowOff>88900</xdr:rowOff>
        </xdr:from>
        <xdr:to>
          <xdr:col>4</xdr:col>
          <xdr:colOff>838200</xdr:colOff>
          <xdr:row>14</xdr:row>
          <xdr:rowOff>203200</xdr:rowOff>
        </xdr:to>
        <xdr:sp macro="" textlink="">
          <xdr:nvSpPr>
            <xdr:cNvPr id="1031" name="Comment 9" hidden="1">
              <a:extLst>
                <a:ext uri="{FF2B5EF4-FFF2-40B4-BE49-F238E27FC236}">
                  <a16:creationId xmlns:a16="http://schemas.microsoft.com/office/drawing/2014/main" id="{5C59EBCD-FDDF-D343-85AE-0AE0FA328FB4}"/>
                </a:ext>
              </a:extLst>
            </xdr:cNvPr>
            <xdr:cNvSpPr txBox="1">
              <a:spLocks noChangeArrowheads="1"/>
            </xdr:cNvSpPr>
          </xdr:nvSpPr>
          <xdr:spPr bwMode="auto">
            <a:xfrm>
              <a:off x="2247900" y="2197100"/>
              <a:ext cx="1308100" cy="762000"/>
            </a:xfrm>
            <a:prstGeom prst="rect">
              <a:avLst/>
            </a:prstGeom>
            <a:solidFill>
              <a:srgbClr xmlns:a14="http://schemas.microsoft.com/office/drawing/2010/main" val="FFFFE1" mc:Ignorable="a14" a14:legacySpreadsheetColorIndex="80"/>
            </a:solidFill>
            <a:ln w="9525">
              <a:solidFill>
                <a:srgbClr val="510000"/>
              </a:solidFill>
              <a:miter lim="800%"/>
              <a:headEnd/>
              <a:tailEnd/>
            </a:ln>
            <a:effectLst/>
            <a:extLst>
              <a:ext uri="{AF507438-7753-43E0-B8FC-AC1667EBCBE1}">
                <a14:hiddenEffects xmlns:a14="http://schemas.microsoft.com/office/drawing/2010/main">
                  <a:effectLst>
                    <a:outerShdw dist="35921" dir="2700000" algn="ctr" rotWithShape="0">
                      <a:srgbClr val="510000"/>
                    </a:outerShdw>
                  </a:effectLst>
                </a14:hiddenEffects>
              </a:ext>
              <a:ext uri="{53640926-AAD7-44D8-BBD7-CCE9431645EC}">
                <a14:shadowObscured xmlns:a14="http://schemas.microsoft.com/office/drawing/2010/main" val="1"/>
              </a:ext>
            </a:extLst>
          </xdr:spPr>
          <xdr:txBody>
            <a:bodyPr vertOverflow="clip" wrap="square" lIns="27432" tIns="18288" rIns="0" bIns="0" anchor="t" upright="1"/>
            <a:lstStyle/>
            <a:p>
              <a:pPr algn="l" rtl="0">
                <a:defRPr sz="1000"/>
              </a:pPr>
              <a:r>
                <a:rPr lang="en-US" sz="1000" b="1" i="0" u="none" strike="noStrike" baseline="0%">
                  <a:solidFill>
                    <a:srgbClr val="000000"/>
                  </a:solidFill>
                  <a:latin typeface="Tahoma" pitchFamily="2" charset="0"/>
                  <a:ea typeface="Tahoma" pitchFamily="2" charset="0"/>
                  <a:cs typeface="Tahoma" pitchFamily="2" charset="0"/>
                </a:rPr>
                <a:t>Stephen Hinde:</a:t>
              </a:r>
              <a:endParaRPr lang="en-US" sz="1000" b="0" i="0" u="none" strike="noStrike" baseline="0%">
                <a:solidFill>
                  <a:srgbClr val="000000"/>
                </a:solidFill>
                <a:latin typeface="Tahoma" pitchFamily="2" charset="0"/>
                <a:ea typeface="Tahoma" pitchFamily="2" charset="0"/>
                <a:cs typeface="Tahoma" pitchFamily="2" charset="0"/>
              </a:endParaRPr>
            </a:p>
            <a:p>
              <a:pPr algn="l" rtl="0">
                <a:defRPr sz="1000"/>
              </a:pPr>
              <a:r>
                <a:rPr lang="en-US" sz="1000" b="0" i="0" u="none" strike="noStrike" baseline="0%">
                  <a:solidFill>
                    <a:srgbClr val="000000"/>
                  </a:solidFill>
                  <a:latin typeface="Tahoma" pitchFamily="2" charset="0"/>
                  <a:ea typeface="Tahoma" pitchFamily="2" charset="0"/>
                  <a:cs typeface="Tahoma" pitchFamily="2" charset="0"/>
                </a:rPr>
                <a:t>24hr clock format</a:t>
              </a:r>
            </a:p>
            <a:p>
              <a:pPr algn="l" rtl="0">
                <a:defRPr sz="1000"/>
              </a:pPr>
              <a:r>
                <a:rPr lang="en-US" sz="1000" b="0" i="0" u="none" strike="noStrike" baseline="0%">
                  <a:solidFill>
                    <a:srgbClr val="000000"/>
                  </a:solidFill>
                  <a:latin typeface="Tahoma" pitchFamily="2" charset="0"/>
                  <a:ea typeface="Tahoma" pitchFamily="2" charset="0"/>
                  <a:cs typeface="Tahoma" pitchFamily="2" charset="0"/>
                </a:rPr>
                <a:t>hh:mm</a:t>
              </a:r>
            </a:p>
          </xdr:txBody>
        </xdr:sp>
        <xdr:clientData/>
      </xdr:twoCellAnchor>
    </mc:Fallback>
  </mc:AlternateContent>
</xdr:wsDr>
</file>

<file path=xl/drawings/drawing2.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purl.oclc.org/ooxml/officeDocument/relationships" r:embed="rId1"/>
        <a:stretch>
          <a:fillRect/>
        </a:stretch>
      </xdr:blipFill>
      <xdr:spPr>
        <a:xfrm>
          <a:off x="11113477" y="485206"/>
          <a:ext cx="1992923" cy="1566607"/>
        </a:xfrm>
        <a:prstGeom prst="rect">
          <a:avLst/>
        </a:prstGeom>
      </xdr:spPr>
    </xdr:pic>
    <xdr:clientData/>
  </xdr:twoCellAnchor>
</xdr:wsDr>
</file>

<file path=xl/drawings/drawing3.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purl.oclc.org/ooxml/officeDocument/relationships" r:embed="rId1"/>
        <a:stretch>
          <a:fillRect/>
        </a:stretch>
      </xdr:blipFill>
      <xdr:spPr>
        <a:xfrm>
          <a:off x="11099800" y="465993"/>
          <a:ext cx="2006600" cy="1566282"/>
        </a:xfrm>
        <a:prstGeom prst="rect">
          <a:avLst/>
        </a:prstGeom>
      </xdr:spPr>
    </xdr:pic>
    <xdr:clientData/>
  </xdr:twoCellAnchor>
</xdr:wsDr>
</file>

<file path=xl/drawings/drawing4.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7243A14B-4D96-E346-B75C-AEE5C2592045}"/>
            </a:ext>
          </a:extLst>
        </xdr:cNvPr>
        <xdr:cNvPicPr>
          <a:picLocks noChangeAspect="1"/>
        </xdr:cNvPicPr>
      </xdr:nvPicPr>
      <xdr:blipFill>
        <a:blip xmlns:r="http://purl.oclc.org/ooxml/officeDocument/relationships" r:embed="rId1"/>
        <a:stretch>
          <a:fillRect/>
        </a:stretch>
      </xdr:blipFill>
      <xdr:spPr>
        <a:xfrm>
          <a:off x="11099800" y="491393"/>
          <a:ext cx="2006600" cy="1566282"/>
        </a:xfrm>
        <a:prstGeom prst="rect">
          <a:avLst/>
        </a:prstGeom>
      </xdr:spPr>
    </xdr:pic>
    <xdr:clientData/>
  </xdr:twoCellAnchor>
</xdr:wsDr>
</file>

<file path=xl/drawings/drawing5.xml><?xml version="1.0" encoding="utf-8"?>
<xdr:wsDr xmlns:xdr="http://purl.oclc.org/ooxml/drawingml/spreadsheetDrawing" xmlns:a="http://purl.oclc.org/ooxml/drawingml/main">
  <xdr:twoCellAnchor editAs="oneCell">
    <xdr:from>
      <xdr:col>8</xdr:col>
      <xdr:colOff>660400</xdr:colOff>
      <xdr:row>1</xdr:row>
      <xdr:rowOff>224693</xdr:rowOff>
    </xdr:from>
    <xdr:to>
      <xdr:col>11</xdr:col>
      <xdr:colOff>406400</xdr:colOff>
      <xdr:row>5</xdr:row>
      <xdr:rowOff>275</xdr:rowOff>
    </xdr:to>
    <xdr:pic>
      <xdr:nvPicPr>
        <xdr:cNvPr id="2" name="Picture 1">
          <a:extLst>
            <a:ext uri="{FF2B5EF4-FFF2-40B4-BE49-F238E27FC236}">
              <a16:creationId xmlns:a16="http://schemas.microsoft.com/office/drawing/2014/main" id="{5EEAACE2-AD57-BD48-BB33-9A5E9F368AED}"/>
            </a:ext>
          </a:extLst>
        </xdr:cNvPr>
        <xdr:cNvPicPr>
          <a:picLocks noChangeAspect="1"/>
        </xdr:cNvPicPr>
      </xdr:nvPicPr>
      <xdr:blipFill>
        <a:blip xmlns:r="http://purl.oclc.org/ooxml/officeDocument/relationships" r:embed="rId1"/>
        <a:stretch>
          <a:fillRect/>
        </a:stretch>
      </xdr:blipFill>
      <xdr:spPr>
        <a:xfrm>
          <a:off x="11099800" y="491393"/>
          <a:ext cx="2006600" cy="1566282"/>
        </a:xfrm>
        <a:prstGeom prst="rect">
          <a:avLst/>
        </a:prstGeom>
      </xdr:spPr>
    </xdr:pic>
    <xdr:clientData/>
  </xdr:twoCellAnchor>
</xdr:wsDr>
</file>

<file path=xl/theme/theme1.xml><?xml version="1.0" encoding="utf-8"?>
<a:theme xmlns:a="http://purl.oclc.org/ooxml/drawingml/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
                <a:satMod val="300%"/>
              </a:schemeClr>
            </a:gs>
            <a:gs pos="35%">
              <a:schemeClr val="phClr">
                <a:tint val="37%"/>
                <a:satMod val="300%"/>
              </a:schemeClr>
            </a:gs>
            <a:gs pos="100%">
              <a:schemeClr val="phClr">
                <a:tint val="15%"/>
                <a:satMod val="350%"/>
              </a:schemeClr>
            </a:gs>
          </a:gsLst>
          <a:lin ang="16200000" scaled="1"/>
        </a:gradFill>
        <a:gradFill rotWithShape="1">
          <a:gsLst>
            <a:gs pos="0%">
              <a:schemeClr val="phClr">
                <a:tint val="100%"/>
                <a:shade val="100%"/>
                <a:satMod val="130%"/>
              </a:schemeClr>
            </a:gs>
            <a:gs pos="100%">
              <a:schemeClr val="phClr">
                <a:tint val="50%"/>
                <a:shade val="100%"/>
                <a:satMod val="350%"/>
              </a:schemeClr>
            </a:gs>
          </a:gsLst>
          <a:lin ang="16200000" scaled="0"/>
        </a:gradFill>
      </a:fillStyleLst>
      <a:lnStyleLst>
        <a:ln w="9525" cap="flat" cmpd="sng" algn="ctr">
          <a:solidFill>
            <a:schemeClr val="phClr">
              <a:shade val="95%"/>
              <a:satMod val="105%"/>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
              </a:srgbClr>
            </a:outerShdw>
          </a:effectLst>
        </a:effectStyle>
        <a:effectStyle>
          <a:effectLst>
            <a:outerShdw blurRad="40000" dist="23000" dir="5400000" rotWithShape="0">
              <a:srgbClr val="000000">
                <a:alpha val="35%"/>
              </a:srgbClr>
            </a:outerShdw>
          </a:effectLst>
        </a:effectStyle>
        <a:effectStyle>
          <a:effectLst>
            <a:outerShdw blurRad="40000" dist="23000" dir="5400000" rotWithShape="0">
              <a:srgbClr val="000000">
                <a:alpha val="35%"/>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
                <a:satMod val="350%"/>
              </a:schemeClr>
            </a:gs>
            <a:gs pos="40%">
              <a:schemeClr val="phClr">
                <a:tint val="45%"/>
                <a:shade val="99%"/>
                <a:satMod val="350%"/>
              </a:schemeClr>
            </a:gs>
            <a:gs pos="100%">
              <a:schemeClr val="phClr">
                <a:shade val="20%"/>
                <a:satMod val="255%"/>
              </a:schemeClr>
            </a:gs>
          </a:gsLst>
          <a:path path="circle">
            <a:fillToRect l="50%" t="-80%" r="50%" b="180%"/>
          </a:path>
        </a:gradFill>
        <a:gradFill rotWithShape="1">
          <a:gsLst>
            <a:gs pos="0%">
              <a:schemeClr val="phClr">
                <a:tint val="80%"/>
                <a:satMod val="300%"/>
              </a:schemeClr>
            </a:gs>
            <a:gs pos="100%">
              <a:schemeClr val="phClr">
                <a:shade val="30%"/>
                <a:satMod val="200%"/>
              </a:schemeClr>
            </a:gs>
          </a:gsLst>
          <a:path path="circle">
            <a:fillToRect l="50%" t="50%" r="50%" b="5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purl.oclc.org/ooxml/officeDocument/relationships/comments" Target="../comments1.xml"/><Relationship Id="rId2" Type="http://schemas.openxmlformats.org/officeDocument/2006/relationships/vmlDrawing" Target="../drawings/vmlDrawing1.vml"/><Relationship Id="rId1" Type="http://purl.oclc.org/ooxml/officeDocument/relationships/drawing" Target="../drawings/drawing1.xml"/></Relationships>
</file>

<file path=xl/worksheets/_rels/sheet2.xml.rels><?xml version="1.0" encoding="UTF-8" standalone="yes"?>
<Relationships xmlns="http://schemas.openxmlformats.org/package/2006/relationships"><Relationship Id="rId1" Type="http://purl.oclc.org/ooxml/officeDocument/relationships/drawing" Target="../drawings/drawing2.xml"/></Relationships>
</file>

<file path=xl/worksheets/_rels/sheet3.xml.rels><?xml version="1.0" encoding="UTF-8" standalone="yes"?>
<Relationships xmlns="http://schemas.openxmlformats.org/package/2006/relationships"><Relationship Id="rId1" Type="http://purl.oclc.org/ooxml/officeDocument/relationships/drawing" Target="../drawings/drawing3.xml"/></Relationships>
</file>

<file path=xl/worksheets/_rels/sheet4.xml.rels><?xml version="1.0" encoding="UTF-8" standalone="yes"?>
<Relationships xmlns="http://schemas.openxmlformats.org/package/2006/relationships"><Relationship Id="rId1" Type="http://purl.oclc.org/ooxml/officeDocument/relationships/drawing" Target="../drawings/drawing4.xml"/></Relationships>
</file>

<file path=xl/worksheets/_rels/sheet5.xml.rels><?xml version="1.0" encoding="UTF-8" standalone="yes"?>
<Relationships xmlns="http://schemas.openxmlformats.org/package/2006/relationships"><Relationship Id="rId1" Type="http://purl.oclc.org/ooxml/officeDocument/relationships/drawing" Target="../drawings/drawing5.xml"/></Relationships>
</file>

<file path=xl/worksheets/sheet1.xml><?xml version="1.0" encoding="utf-8"?>
<worksheet xmlns="http://purl.oclc.org/ooxml/spreadsheetml/main" xmlns:r="http://purl.oclc.org/ooxml/officeDocument/relationships" xmlns:xdr="http://purl.oclc.org/ooxml/drawingml/spreadsheetDrawing" xmlns:x14="http://schemas.microsoft.com/office/spreadsheetml/2009/9/main"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63"/>
  <sheetViews>
    <sheetView showGridLines="0" tabSelected="1" zoomScale="140" zoomScaleNormal="140" zoomScalePageLayoutView="135" workbookViewId="0">
      <selection activeCell="B4" sqref="B4"/>
    </sheetView>
  </sheetViews>
  <sheetFormatPr baseColWidth="10" defaultColWidth="8.83203125" defaultRowHeight="13" x14ac:dyDescent="0.15"/>
  <cols>
    <col min="1" max="1" width="16.5" style="2" customWidth="1"/>
    <col min="2" max="2" width="10.83203125" customWidth="1"/>
    <col min="3" max="3" width="1" style="3" hidden="1" customWidth="1"/>
    <col min="4" max="4" width="8.33203125" customWidth="1"/>
    <col min="5" max="5" width="17" bestFit="1" customWidth="1"/>
    <col min="6" max="11" width="34.1640625" customWidth="1"/>
    <col min="12" max="15" width="17.83203125" hidden="1" customWidth="1"/>
  </cols>
  <sheetData>
    <row r="1" spans="1:26" ht="20" customHeight="1" x14ac:dyDescent="0.2">
      <c r="A1" s="102" t="s">
        <v>83</v>
      </c>
      <c r="B1" s="102"/>
      <c r="C1" s="102"/>
      <c r="D1" s="102"/>
      <c r="E1" s="102"/>
      <c r="F1" s="102"/>
      <c r="G1" s="102"/>
      <c r="H1" s="102"/>
      <c r="I1" s="77" t="s">
        <v>85</v>
      </c>
      <c r="Q1" s="101" t="s">
        <v>89</v>
      </c>
      <c r="R1" s="101"/>
      <c r="S1" s="101"/>
      <c r="T1" s="101"/>
      <c r="U1" s="101"/>
      <c r="V1" s="101"/>
      <c r="W1" s="101"/>
      <c r="X1" s="101"/>
      <c r="Y1" s="101"/>
      <c r="Z1" s="101"/>
    </row>
    <row r="2" spans="1:26" ht="13" customHeight="1" thickBot="1" x14ac:dyDescent="0.2">
      <c r="H2" s="83"/>
      <c r="I2" s="83"/>
      <c r="Q2" s="101"/>
      <c r="R2" s="101"/>
      <c r="S2" s="101"/>
      <c r="T2" s="101"/>
      <c r="U2" s="101"/>
      <c r="V2" s="101"/>
      <c r="W2" s="101"/>
      <c r="X2" s="101"/>
      <c r="Y2" s="101"/>
      <c r="Z2" s="101"/>
    </row>
    <row r="3" spans="1:26" s="94" customFormat="1" ht="13" customHeight="1" thickBot="1" x14ac:dyDescent="0.2">
      <c r="A3" s="92" t="s">
        <v>82</v>
      </c>
      <c r="B3" s="93" t="d">
        <v>2022-11-09</v>
      </c>
      <c r="H3" s="95"/>
      <c r="I3" s="95"/>
      <c r="Q3" s="101"/>
      <c r="R3" s="101"/>
      <c r="S3" s="101"/>
      <c r="T3" s="101"/>
      <c r="U3" s="101"/>
      <c r="V3" s="101"/>
      <c r="W3" s="101"/>
      <c r="X3" s="101"/>
      <c r="Y3" s="101"/>
      <c r="Z3" s="101"/>
    </row>
    <row r="4" spans="1:26" ht="13" customHeight="1" x14ac:dyDescent="0.15">
      <c r="A4" s="81" t="s">
        <v>86</v>
      </c>
      <c r="B4" s="91" t="d">
        <v>2023-08-14</v>
      </c>
      <c r="C4"/>
      <c r="H4" s="83"/>
      <c r="I4" s="83"/>
      <c r="Q4" s="101"/>
      <c r="R4" s="101"/>
      <c r="S4" s="101"/>
      <c r="T4" s="101"/>
      <c r="U4" s="101"/>
      <c r="V4" s="101"/>
      <c r="W4" s="101"/>
      <c r="X4" s="101"/>
      <c r="Y4" s="101"/>
      <c r="Z4" s="101"/>
    </row>
    <row r="5" spans="1:26" ht="14" thickBot="1" x14ac:dyDescent="0.2">
      <c r="H5" s="83"/>
      <c r="I5" s="83"/>
      <c r="Q5" s="101"/>
      <c r="R5" s="101"/>
      <c r="S5" s="101"/>
      <c r="T5" s="101"/>
      <c r="U5" s="101"/>
      <c r="V5" s="101"/>
      <c r="W5" s="101"/>
      <c r="X5" s="101"/>
      <c r="Y5" s="101"/>
      <c r="Z5" s="101"/>
    </row>
    <row r="6" spans="1:26" ht="18" x14ac:dyDescent="0.2">
      <c r="A6" s="11" t="s">
        <v>18</v>
      </c>
      <c r="B6" s="60">
        <v>200</v>
      </c>
      <c r="C6">
        <f>IF(Brevet_Length&gt;=1200,Brevet_Length,IF(Brevet_Length&gt;=1000,1000,IF(Brevet_Length&gt;=600,600,IF(Brevet_Length&gt;=400,400,IF(Brevet_Length&gt;=300,300,IF(Brevet_Length&gt;=200,200,100))))))</f>
        <v>200</v>
      </c>
      <c r="J6" s="106" t="s">
        <v>63</v>
      </c>
      <c r="K6" s="106"/>
      <c r="Q6" s="64" t="s">
        <v>64</v>
      </c>
      <c r="R6" s="64"/>
      <c r="S6" s="64"/>
      <c r="T6" s="64"/>
      <c r="U6" s="64"/>
      <c r="V6" s="64"/>
      <c r="W6" s="64"/>
    </row>
    <row r="7" spans="1:26" ht="14" thickBot="1" x14ac:dyDescent="0.2">
      <c r="A7" s="12" t="s">
        <v>19</v>
      </c>
      <c r="B7" s="13">
        <f>IF(brevet=1200,90,IF(brevet=1000,75,IF(brevet=600,40,IF(brevet=400,27,IF(brevet=300,20,IF(brevet=200,13.5,IF(brevet=100,7,0)))))))</f>
        <v>13.5</v>
      </c>
      <c r="Q7" t="s">
        <v>65</v>
      </c>
    </row>
    <row r="8" spans="1:26" ht="19" thickBot="1" x14ac:dyDescent="0.25">
      <c r="A8" s="12" t="s">
        <v>20</v>
      </c>
      <c r="B8" s="103" t="s">
        <v>95</v>
      </c>
      <c r="C8" s="104"/>
      <c r="D8" s="104"/>
      <c r="E8" s="104"/>
      <c r="F8" s="104"/>
      <c r="G8" s="104"/>
      <c r="H8" s="105"/>
      <c r="I8" s="24"/>
      <c r="J8" s="24"/>
      <c r="K8" s="24"/>
      <c r="Q8" s="64" t="s">
        <v>66</v>
      </c>
    </row>
    <row r="9" spans="1:26" ht="18" x14ac:dyDescent="0.2">
      <c r="A9" s="12" t="s">
        <v>21</v>
      </c>
      <c r="B9" s="61">
        <v>5276</v>
      </c>
      <c r="C9" s="21"/>
      <c r="F9" s="22"/>
      <c r="G9" s="22"/>
      <c r="H9" s="22"/>
      <c r="I9" s="22"/>
      <c r="J9" s="22"/>
      <c r="K9" s="22"/>
      <c r="Q9" s="64" t="s">
        <v>67</v>
      </c>
    </row>
    <row r="10" spans="1:26" ht="18" x14ac:dyDescent="0.2">
      <c r="A10" s="43" t="s">
        <v>48</v>
      </c>
      <c r="B10" s="62" t="d">
        <v>2023-08-19</v>
      </c>
      <c r="Q10" s="64" t="s">
        <v>68</v>
      </c>
    </row>
    <row r="11" spans="1:26" ht="6" customHeight="1" x14ac:dyDescent="0.15">
      <c r="B11" s="84"/>
    </row>
    <row r="12" spans="1:26" ht="18" customHeight="1" thickBot="1" x14ac:dyDescent="0.25">
      <c r="A12" s="79" t="s">
        <v>22</v>
      </c>
      <c r="B12" s="80" t="d">
        <v>2023-08-19</v>
      </c>
      <c r="Q12" s="64" t="s">
        <v>76</v>
      </c>
    </row>
    <row r="13" spans="1:26" ht="19" thickBot="1" x14ac:dyDescent="0.25">
      <c r="A13" s="10" t="s">
        <v>23</v>
      </c>
      <c r="B13" s="63" t="d">
        <v>07:00:00.0000000000015975</v>
      </c>
      <c r="D13" s="98" t="s">
        <v>81</v>
      </c>
      <c r="E13" s="99"/>
      <c r="F13" s="99"/>
      <c r="G13" s="99"/>
      <c r="H13" s="99"/>
      <c r="I13" s="107" t="s">
        <v>71</v>
      </c>
      <c r="J13" s="99"/>
      <c r="K13" s="100"/>
      <c r="Q13" s="64" t="s">
        <v>75</v>
      </c>
    </row>
    <row r="14" spans="1:26" ht="14" thickBot="1" x14ac:dyDescent="0.2">
      <c r="D14" s="6" t="s">
        <v>24</v>
      </c>
      <c r="E14" s="7" t="s">
        <v>25</v>
      </c>
      <c r="F14" s="54" t="s">
        <v>26</v>
      </c>
      <c r="G14" s="54" t="s">
        <v>27</v>
      </c>
      <c r="H14" s="55" t="s">
        <v>28</v>
      </c>
      <c r="I14" s="7" t="s">
        <v>60</v>
      </c>
      <c r="J14" s="7" t="s">
        <v>61</v>
      </c>
      <c r="K14" s="8" t="s">
        <v>62</v>
      </c>
      <c r="L14" t="s">
        <v>3</v>
      </c>
      <c r="M14" t="s">
        <v>4</v>
      </c>
      <c r="N14" t="s">
        <v>5</v>
      </c>
      <c r="O14" t="s">
        <v>6</v>
      </c>
      <c r="Q14" s="64" t="s">
        <v>69</v>
      </c>
    </row>
    <row r="15" spans="1:26" ht="17" customHeight="1" x14ac:dyDescent="0.15">
      <c r="C15" s="3" t="s">
        <v>7</v>
      </c>
      <c r="D15" s="96">
        <v>0</v>
      </c>
      <c r="E15" s="66" t="s">
        <v>96</v>
      </c>
      <c r="F15" s="67" t="s">
        <v>101</v>
      </c>
      <c r="G15" s="67" t="s">
        <v>102</v>
      </c>
      <c r="H15" s="67" t="s">
        <v>108</v>
      </c>
      <c r="I15" s="67"/>
      <c r="J15" s="67"/>
      <c r="K15" s="68"/>
      <c r="L15" s="4" t="d">
        <f>Start_date+Start_time</f>
        <v>2023-08-19T06:59:59.99999979045242400</v>
      </c>
      <c r="M15" s="4" t="d">
        <f>L15+"1:00"</f>
        <v>2023-08-19T07:59:59.99999958090484125</v>
      </c>
      <c r="N15" s="5" t="d">
        <f>IF(ISBLANK(Distance),"",Open Control_1)</f>
        <v>2023-08-19T06:59:59.99999979045242400</v>
      </c>
      <c r="O15" s="5" t="d">
        <f>IF(ISBLANK(Distance),"",Close Control_1)</f>
        <v>2023-08-19T07:59:59.99999958090484125</v>
      </c>
      <c r="Q15" s="64" t="s">
        <v>84</v>
      </c>
    </row>
    <row r="16" spans="1:26" ht="17" customHeight="1" x14ac:dyDescent="0.15">
      <c r="B16" s="72"/>
      <c r="C16" s="3" t="s">
        <v>8</v>
      </c>
      <c r="D16" s="23">
        <v>22</v>
      </c>
      <c r="E16" s="66" t="s">
        <v>97</v>
      </c>
      <c r="F16" s="67" t="s">
        <v>94</v>
      </c>
      <c r="G16" s="67" t="s">
        <v>103</v>
      </c>
      <c r="H16" s="67" t="s">
        <v>124</v>
      </c>
      <c r="I16" s="67" t="s">
        <v>123</v>
      </c>
      <c r="J16" s="67" t="s">
        <v>114</v>
      </c>
      <c r="K16" s="68" t="s">
        <v>120</v>
      </c>
      <c r="L16">
        <f>IF(ISBLANK(Distance),"",IF(Distance&gt;1000,(Distance-1000)/26+33.0847,(IF(Distance&gt;600,(Distance-600)/28+18.799,(IF(Distance&gt;400,(Distance-400)/30+12.1324,(IF(Distance&gt;200,(Distance-200)/32+5.8824,Distance/34))))))))</f>
        <v>0.6470588235294118</v>
      </c>
      <c r="M16">
        <f t="shared" ref="M16:M24" si="0">IF(ISBLANK(Distance),"",IF(Distance&gt;=brevet,IF(brevet&gt;1200,(brevet-1200)*75/1000+90,Max_time),IF(Distance&gt;1200,(Distance-1200)*75/1000+90,IF(Distance&gt;1000,(Distance-1000)/(1000/75)+75,IF(Distance&gt;600,(Distance-600)/(400/35)+40,IF(Distance&lt;=60,(Distance/20+1),Distance/15))))))</f>
        <v>2.1</v>
      </c>
      <c r="N16" s="5" t="d">
        <f>IF(ISBLANK(Distance),"",Open_time Control_1+(INT(Open)&amp;":"&amp;IF(ROUND(((Open-INT(Open))*60),0)&lt;10,0,"")&amp;ROUND(((Open-INT(Open))*60),0)))</f>
        <v>2023-08-19T07:38:59.99999987427145575</v>
      </c>
      <c r="O16" s="5" t="d">
        <f>IF(ISBLANK(Distance),"",Open_time Control_1+(INT(Close)&amp;":"&amp;IF(ROUND(((Close-INT(Close))*60),0)&lt;10,0,"")&amp;ROUND(((Close-INT(Close))*60),0)))</f>
        <v>2023-08-19T09:05:59.99999991618096825</v>
      </c>
      <c r="Q16" s="64" t="s">
        <v>70</v>
      </c>
    </row>
    <row r="17" spans="2:17" ht="17" customHeight="1" x14ac:dyDescent="0.15">
      <c r="B17" s="72"/>
      <c r="C17" s="3" t="s">
        <v>9</v>
      </c>
      <c r="D17" s="23">
        <v>44.5</v>
      </c>
      <c r="E17" s="66" t="s">
        <v>107</v>
      </c>
      <c r="F17" s="67" t="s">
        <v>94</v>
      </c>
      <c r="G17" s="67" t="s">
        <v>106</v>
      </c>
      <c r="H17" s="67" t="s">
        <v>115</v>
      </c>
      <c r="I17" s="67" t="s">
        <v>119</v>
      </c>
      <c r="J17" s="67"/>
      <c r="K17" s="68" t="s">
        <v>121</v>
      </c>
      <c r="L17">
        <f>IF(ISBLANK(Distance),"",IF(Distance&gt;1000,(Distance-1000)/26+33.0847,(IF(Distance&gt;600,(Distance-600)/28+18.799,(IF(Distance&gt;400,(Distance-400)/30+12.1324,(IF(Distance&gt;200,(Distance-200)/32+5.8824,Distance/34))))))))</f>
        <v>1.3088235294117647</v>
      </c>
      <c r="M17">
        <f t="shared" si="0"/>
        <v>3.2250000000000001</v>
      </c>
      <c r="N17" s="5" t="d">
        <f>IF(ISBLANK(Distance),"",Open_time Control_1+(INT(Open)&amp;":"&amp;IF(ROUND(((Open-INT(Open))*60),0)&lt;10,0,"")&amp;ROUND(((Open-INT(Open))*60),0)))</f>
        <v>2023-08-19T08:18:59.99999952502548675</v>
      </c>
      <c r="O17" s="5" t="d">
        <f>IF(ISBLANK(Distance),"",Open_time Control_1+(INT(Close)&amp;":"&amp;IF(ROUND(((Close-INT(Close))*60),0)&lt;10,0,"")&amp;ROUND(((Close-INT(Close))*60),0)))</f>
        <v>2023-08-19T10:14:00.00000001396983525</v>
      </c>
    </row>
    <row r="18" spans="2:17" ht="17" customHeight="1" x14ac:dyDescent="0.15">
      <c r="B18" s="72"/>
      <c r="C18" s="3" t="s">
        <v>10</v>
      </c>
      <c r="D18" s="23">
        <v>104</v>
      </c>
      <c r="E18" s="66" t="s">
        <v>98</v>
      </c>
      <c r="F18" s="67" t="s">
        <v>93</v>
      </c>
      <c r="G18" s="67" t="s">
        <v>104</v>
      </c>
      <c r="H18" s="67" t="s">
        <v>110</v>
      </c>
      <c r="I18" s="67"/>
      <c r="J18" s="67"/>
      <c r="K18" s="68"/>
      <c r="L18">
        <f t="shared" ref="L18:L24" si="1">IF(ISBLANK(Distance),"",IF(Distance&gt;1000,(Distance-1000)/26+33.0847,(IF(Distance&gt;600,(Distance-600)/28+18.799,(IF(Distance&gt;400,(Distance-400)/30+12.1324,(IF(Distance&gt;200,(Distance-200)/32+5.8824,Distance/34))))))))</f>
        <v>3.0588235294117645</v>
      </c>
      <c r="M18">
        <f t="shared" si="0"/>
        <v>6.9333333333333336</v>
      </c>
      <c r="N18" s="5" t="d">
        <f>IF(ISBLANK(Distance),"",Open_time Control_1+(INT(Open)&amp;":"&amp;IF(ROUND(((Open-INT(Open))*60),0)&lt;10,0,"")&amp;ROUND(((Open-INT(Open))*60),0)))</f>
        <v>2023-08-19T10:03:59.99999994412064550</v>
      </c>
      <c r="O18" s="5" t="d">
        <f>IF(ISBLANK(Distance),"",Open_time Control_1+(INT(Close)&amp;":"&amp;IF(ROUND(((Close-INT(Close))*60),0)&lt;10,0,"")&amp;ROUND(((Close-INT(Close))*60),0)))</f>
        <v>2023-08-19T13:56:00.00000005587935450</v>
      </c>
    </row>
    <row r="19" spans="2:17" ht="17" customHeight="1" x14ac:dyDescent="0.15">
      <c r="B19" s="72"/>
      <c r="C19" s="3" t="s">
        <v>11</v>
      </c>
      <c r="D19" s="23">
        <v>119.4</v>
      </c>
      <c r="E19" s="66" t="s">
        <v>99</v>
      </c>
      <c r="F19" s="67" t="s">
        <v>94</v>
      </c>
      <c r="G19" s="67" t="s">
        <v>111</v>
      </c>
      <c r="H19" s="67" t="s">
        <v>112</v>
      </c>
      <c r="I19" s="67" t="s">
        <v>116</v>
      </c>
      <c r="J19" s="97" t="s">
        <v>117</v>
      </c>
      <c r="K19" s="68" t="s">
        <v>118</v>
      </c>
      <c r="L19">
        <f t="shared" si="1"/>
        <v>3.5117647058823529</v>
      </c>
      <c r="M19">
        <f t="shared" si="0"/>
        <v>7.96</v>
      </c>
      <c r="N19" s="5" t="d">
        <f>IF(ISBLANK(Distance),"",Open_time Control_1+(INT(Open)&amp;":"&amp;IF(ROUND(((Open-INT(Open))*60),0)&lt;10,0,"")&amp;ROUND(((Open-INT(Open))*60),0)))</f>
        <v>2023-08-19T10:30:59.999999566935002625</v>
      </c>
      <c r="O19" s="5" t="d">
        <f>IF(ISBLANK(Distance),"",Open_time Control_1+(INT(Close)&amp;":"&amp;IF(ROUND(((Close-INT(Close))*60),0)&lt;10,0,"")&amp;ROUND(((Close-INT(Close))*60),0)))</f>
        <v>2023-08-19T14:57:59.99999960884451850</v>
      </c>
      <c r="Q19" s="77"/>
    </row>
    <row r="20" spans="2:17" ht="17" customHeight="1" x14ac:dyDescent="0.15">
      <c r="B20" s="72"/>
      <c r="C20" s="3" t="s">
        <v>12</v>
      </c>
      <c r="D20" s="23">
        <v>171</v>
      </c>
      <c r="E20" s="66" t="s">
        <v>100</v>
      </c>
      <c r="F20" s="67" t="s">
        <v>93</v>
      </c>
      <c r="G20" s="67" t="s">
        <v>105</v>
      </c>
      <c r="H20" s="67" t="s">
        <v>113</v>
      </c>
      <c r="I20" s="67"/>
      <c r="J20" s="67"/>
      <c r="K20" s="68"/>
      <c r="L20">
        <f t="shared" si="1"/>
        <v>5.0294117647058822</v>
      </c>
      <c r="M20">
        <f t="shared" si="0"/>
        <v>11.4</v>
      </c>
      <c r="N20" s="5" t="d">
        <f>IF(ISBLANK(Distance),"",Open_time Control_1+(INT(Open)&amp;":"&amp;IF(ROUND(((Open-INT(Open))*60),0)&lt;10,0,"")&amp;ROUND(((Open-INT(Open))*60),0)))</f>
        <v>2023-08-19T12:01:59.99999976251274675</v>
      </c>
      <c r="O20" s="5" t="d">
        <f>IF(ISBLANK(Distance),"",Open_time Control_1+(INT(Close)&amp;":"&amp;IF(ROUND(((Close-INT(Close))*60),0)&lt;10,0,"")&amp;ROUND(((Close-INT(Close))*60),0)))</f>
        <v>2023-08-19T18:23:59.99999966472387300</v>
      </c>
    </row>
    <row r="21" spans="2:17" ht="17" customHeight="1" x14ac:dyDescent="0.15">
      <c r="B21" s="72"/>
      <c r="C21" s="3" t="s">
        <v>13</v>
      </c>
      <c r="D21" s="23">
        <v>202.1</v>
      </c>
      <c r="E21" s="66" t="s">
        <v>96</v>
      </c>
      <c r="F21" s="67" t="s">
        <v>93</v>
      </c>
      <c r="G21" s="67" t="s">
        <v>92</v>
      </c>
      <c r="H21" s="67" t="s">
        <v>109</v>
      </c>
      <c r="I21" s="67"/>
      <c r="J21" s="67"/>
      <c r="K21" s="68"/>
      <c r="L21">
        <f t="shared" si="1"/>
        <v>5.9480249999999995</v>
      </c>
      <c r="M21">
        <f t="shared" si="0"/>
        <v>13.5</v>
      </c>
      <c r="N21" s="5" t="d">
        <f>IF(ISBLANK(Distance),"",Open_time Control_1+(INT(Open)&amp;":"&amp;IF(ROUND(((Open-INT(Open))*60),0)&lt;10,0,"")&amp;ROUND(((Open-INT(Open))*60),0)))</f>
        <v>2023-08-19T12:56:59.99999983236193650</v>
      </c>
      <c r="O21" s="5" t="d">
        <f>IF(ISBLANK(Distance),"",Open_time Control_1+(INT(Close)&amp;":"&amp;IF(ROUND(((Close-INT(Close))*60),0)&lt;10,0,"")&amp;ROUND(((Close-INT(Close))*60),0)))</f>
        <v>2023-08-19T20:29:59.99999979045242400</v>
      </c>
    </row>
    <row r="22" spans="2:17" ht="17" customHeight="1" x14ac:dyDescent="0.15">
      <c r="B22" s="72"/>
      <c r="C22" s="3" t="s">
        <v>14</v>
      </c>
      <c r="D22" s="23"/>
      <c r="E22" s="66"/>
      <c r="F22" s="67"/>
      <c r="G22" s="67"/>
      <c r="H22" s="68"/>
      <c r="I22" s="68"/>
      <c r="J22" s="67"/>
      <c r="K22" s="68"/>
      <c r="L22" t="str">
        <f t="shared" si="1"/>
        <v/>
      </c>
      <c r="M22" t="str">
        <f t="shared" si="0"/>
        <v/>
      </c>
      <c r="N22" s="5" t="str">
        <f>IF(ISBLANK(Distance),"",Open_time Control_1+(INT(Open)&amp;":"&amp;IF(ROUND(((Open-INT(Open))*60),0)&lt;10,0,"")&amp;ROUND(((Open-INT(Open))*60),0)))</f>
        <v/>
      </c>
      <c r="O22" s="5" t="str">
        <f>IF(ISBLANK(Distance),"",Open_time Control_1+(INT(Close)&amp;":"&amp;IF(ROUND(((Close-INT(Close))*60),0)&lt;10,0,"")&amp;ROUND(((Close-INT(Close))*60),0)))</f>
        <v/>
      </c>
    </row>
    <row r="23" spans="2:17" ht="17" customHeight="1" x14ac:dyDescent="0.15">
      <c r="B23" s="72"/>
      <c r="C23" s="3" t="s">
        <v>15</v>
      </c>
      <c r="D23" s="23"/>
      <c r="E23" s="66"/>
      <c r="F23" s="67"/>
      <c r="G23" s="67"/>
      <c r="H23" s="67"/>
      <c r="I23" s="67"/>
      <c r="J23" s="67"/>
      <c r="K23" s="68"/>
      <c r="L23" t="str">
        <f t="shared" si="1"/>
        <v/>
      </c>
      <c r="M23" t="str">
        <f t="shared" si="0"/>
        <v/>
      </c>
      <c r="N23" s="5" t="str">
        <f>IF(ISBLANK(Distance),"",Open_time Control_1+(INT(Open)&amp;":"&amp;IF(ROUND(((Open-INT(Open))*60),0)&lt;10,0,"")&amp;ROUND(((Open-INT(Open))*60),0)))</f>
        <v/>
      </c>
      <c r="O23" s="5" t="str">
        <f>IF(ISBLANK(Distance),"",Open_time Control_1+(INT(Close)&amp;":"&amp;IF(ROUND(((Close-INT(Close))*60),0)&lt;10,0,"")&amp;ROUND(((Close-INT(Close))*60),0)))</f>
        <v/>
      </c>
    </row>
    <row r="24" spans="2:17" ht="17" customHeight="1" thickBot="1" x14ac:dyDescent="0.2">
      <c r="B24" s="72"/>
      <c r="C24" s="3" t="s">
        <v>16</v>
      </c>
      <c r="D24" s="47"/>
      <c r="E24" s="69"/>
      <c r="F24" s="70"/>
      <c r="G24" s="70"/>
      <c r="H24" s="70"/>
      <c r="I24" s="70"/>
      <c r="J24" s="70"/>
      <c r="K24" s="71"/>
      <c r="L24" t="str">
        <f t="shared" si="1"/>
        <v/>
      </c>
      <c r="M24" t="str">
        <f t="shared" si="0"/>
        <v/>
      </c>
      <c r="N24" s="5" t="str">
        <f>IF(ISBLANK(Distance),"",Open_time Control_1+(INT(Open)&amp;":"&amp;IF(ROUND(((Open-INT(Open))*60),0)&lt;10,0,"")&amp;ROUND(((Open-INT(Open))*60),0)))</f>
        <v/>
      </c>
      <c r="O24" s="5" t="str">
        <f>IF(ISBLANK(Distance),"",Open_time Control_1+(INT(Close)&amp;":"&amp;IF(ROUND(((Close-INT(Close))*60),0)&lt;10,0,"")&amp;ROUND(((Close-INT(Close))*60),0)))</f>
        <v/>
      </c>
    </row>
    <row r="25" spans="2:17" ht="7" customHeight="1" thickBot="1" x14ac:dyDescent="0.25">
      <c r="D25" s="56"/>
      <c r="E25" s="57"/>
      <c r="F25" s="58"/>
      <c r="G25" s="58"/>
      <c r="H25" s="58"/>
      <c r="I25" s="58"/>
      <c r="J25" s="58"/>
      <c r="K25" s="59"/>
      <c r="N25" s="5"/>
      <c r="O25" s="5"/>
    </row>
    <row r="26" spans="2:17" ht="14" thickBot="1" x14ac:dyDescent="0.2">
      <c r="D26" s="98" t="s">
        <v>77</v>
      </c>
      <c r="E26" s="99"/>
      <c r="F26" s="99"/>
      <c r="G26" s="99"/>
      <c r="H26" s="99"/>
      <c r="I26" s="107" t="s">
        <v>72</v>
      </c>
      <c r="J26" s="99"/>
      <c r="K26" s="100"/>
    </row>
    <row r="27" spans="2:17" ht="14" thickBot="1" x14ac:dyDescent="0.2">
      <c r="D27" s="6" t="s">
        <v>24</v>
      </c>
      <c r="E27" s="7" t="s">
        <v>25</v>
      </c>
      <c r="F27" s="54" t="s">
        <v>26</v>
      </c>
      <c r="G27" s="54" t="s">
        <v>27</v>
      </c>
      <c r="H27" s="55" t="s">
        <v>28</v>
      </c>
      <c r="I27" s="7" t="s">
        <v>60</v>
      </c>
      <c r="J27" s="7" t="s">
        <v>61</v>
      </c>
      <c r="K27" s="8" t="s">
        <v>62</v>
      </c>
      <c r="L27" t="s">
        <v>3</v>
      </c>
      <c r="M27" t="s">
        <v>4</v>
      </c>
      <c r="N27" t="s">
        <v>5</v>
      </c>
      <c r="O27" t="s">
        <v>6</v>
      </c>
    </row>
    <row r="28" spans="2:17" ht="17" customHeight="1" x14ac:dyDescent="0.15">
      <c r="D28" s="23"/>
      <c r="E28" s="66"/>
      <c r="F28" s="67"/>
      <c r="G28" s="67"/>
      <c r="H28" s="67"/>
      <c r="I28" s="67"/>
      <c r="J28" s="67"/>
      <c r="K28" s="68"/>
      <c r="L28" t="str">
        <f>IF(ISBLANK(D28),"",IF(D28&gt;1000,(D28-1000)/26+33.0847,(IF(D28&gt;600,(D28-600)/28+18.799,(IF(D28&gt;400,(D28-400)/30+12.1324,(IF(D28&gt;200,(D28-200)/32+5.8824,D28/34))))))))</f>
        <v/>
      </c>
      <c r="M28" t="str">
        <f t="shared" ref="M28:M37" si="2">IF(ISBLANK(D28),"",IF((D28=0),1,IF(D28&gt;=brevet,IF(brevet&gt;1200,(brevet-1200)*75/1000+90,Max_time),IF(D28&gt;1200,(D28-1200)*75/1000+90,IF(D28&gt;1000,(D28-1000)/(1000/75)+75,IF(D28&gt;600,(D28-600)/(400/35)+40,IF(D28&lt;=60,D28/20+1,D28/15)))))))</f>
        <v/>
      </c>
      <c r="N28" s="5" t="str">
        <f>IF(ISBLANK(D28),"",Open_time Control_1+(INT(L28)&amp;":"&amp;IF(ROUND(((L28-INT(L28))*60),0)&lt;10,0,"")&amp;ROUND(((L28-INT(L28))*60),0)))</f>
        <v/>
      </c>
      <c r="O28" s="5" t="str">
        <f>IF(ISBLANK(D28),"",Open_time Control_1+(INT(M28)&amp;":"&amp;IF(ROUND(((M28-INT(M28))*60),0)&lt;10,0,"")&amp;ROUND(((M28-INT(M28))*60),0)))</f>
        <v/>
      </c>
    </row>
    <row r="29" spans="2:17" ht="17" customHeight="1" x14ac:dyDescent="0.15">
      <c r="D29" s="23"/>
      <c r="E29" s="66"/>
      <c r="F29" s="67"/>
      <c r="G29" s="67"/>
      <c r="H29" s="67"/>
      <c r="I29" s="67"/>
      <c r="J29" s="67"/>
      <c r="K29" s="68"/>
      <c r="L29" t="str">
        <f t="shared" ref="L29:L37" si="3">IF(ISBLANK(D29),"",IF(D29&gt;1000,(D29-1000)/26+33.0847,(IF(D29&gt;600,(D29-600)/28+18.799,(IF(D29&gt;400,(D29-400)/30+12.1324,(IF(D29&gt;200,(D29-200)/32+5.8824,D29/34))))))))</f>
        <v/>
      </c>
      <c r="M29" t="str">
        <f t="shared" si="2"/>
        <v/>
      </c>
      <c r="N29" s="5" t="str">
        <f>IF(ISBLANK(D29),"",Open_time Control_1+(INT(L29)&amp;":"&amp;IF(ROUND(((L29-INT(L29))*60),0)&lt;10,0,"")&amp;ROUND(((L29-INT(L29))*60),0)))</f>
        <v/>
      </c>
      <c r="O29" s="5" t="str">
        <f>IF(ISBLANK(D29),"",Open_time Control_1+(INT(M29)&amp;":"&amp;IF(ROUND(((M29-INT(M29))*60),0)&lt;10,0,"")&amp;ROUND(((M29-INT(M29))*60),0)))</f>
        <v/>
      </c>
    </row>
    <row r="30" spans="2:17" ht="17" customHeight="1" x14ac:dyDescent="0.15">
      <c r="D30" s="23"/>
      <c r="E30" s="66"/>
      <c r="F30" s="67"/>
      <c r="G30" s="67"/>
      <c r="H30" s="67"/>
      <c r="I30" s="67"/>
      <c r="J30" s="67"/>
      <c r="K30" s="68"/>
      <c r="L30" t="str">
        <f t="shared" si="3"/>
        <v/>
      </c>
      <c r="M30" t="str">
        <f t="shared" si="2"/>
        <v/>
      </c>
      <c r="N30" s="5" t="str">
        <f>IF(ISBLANK(D30),"",Open_time Control_1+(INT(L30)&amp;":"&amp;IF(ROUND(((L30-INT(L30))*60),0)&lt;10,0,"")&amp;ROUND(((L30-INT(L30))*60),0)))</f>
        <v/>
      </c>
      <c r="O30" s="5" t="str">
        <f>IF(ISBLANK(D30),"",Open_time Control_1+(INT(M30)&amp;":"&amp;IF(ROUND(((M30-INT(M30))*60),0)&lt;10,0,"")&amp;ROUND(((M30-INT(M30))*60),0)))</f>
        <v/>
      </c>
    </row>
    <row r="31" spans="2:17" ht="17" customHeight="1" x14ac:dyDescent="0.15">
      <c r="D31" s="23"/>
      <c r="E31" s="66"/>
      <c r="F31" s="67"/>
      <c r="G31" s="67"/>
      <c r="H31" s="67"/>
      <c r="I31" s="67"/>
      <c r="J31" s="67"/>
      <c r="K31" s="68"/>
      <c r="L31" t="str">
        <f t="shared" si="3"/>
        <v/>
      </c>
      <c r="M31" t="str">
        <f t="shared" si="2"/>
        <v/>
      </c>
      <c r="N31" s="5" t="str">
        <f>IF(ISBLANK(D31),"",Open_time Control_1+(INT(L31)&amp;":"&amp;IF(ROUND(((L31-INT(L31))*60),0)&lt;10,0,"")&amp;ROUND(((L31-INT(L31))*60),0)))</f>
        <v/>
      </c>
      <c r="O31" s="5" t="str">
        <f>IF(ISBLANK(D31),"",Open_time Control_1+(INT(M31)&amp;":"&amp;IF(ROUND(((M31-INT(M31))*60),0)&lt;10,0,"")&amp;ROUND(((M31-INT(M31))*60),0)))</f>
        <v/>
      </c>
    </row>
    <row r="32" spans="2:17" ht="17" customHeight="1" x14ac:dyDescent="0.15">
      <c r="D32" s="23"/>
      <c r="E32" s="66"/>
      <c r="F32" s="67"/>
      <c r="G32" s="67"/>
      <c r="H32" s="67"/>
      <c r="I32" s="67"/>
      <c r="J32" s="67"/>
      <c r="K32" s="68"/>
      <c r="L32" t="str">
        <f t="shared" si="3"/>
        <v/>
      </c>
      <c r="M32" t="str">
        <f t="shared" si="2"/>
        <v/>
      </c>
      <c r="N32" s="5" t="str">
        <f>IF(ISBLANK(D32),"",Open_time Control_1+(INT(L32)&amp;":"&amp;IF(ROUND(((L32-INT(L32))*60),0)&lt;10,0,"")&amp;ROUND(((L32-INT(L32))*60),0)))</f>
        <v/>
      </c>
      <c r="O32" s="5" t="str">
        <f>IF(ISBLANK(D32),"",Open_time Control_1+(INT(M32)&amp;":"&amp;IF(ROUND(((M32-INT(M32))*60),0)&lt;10,0,"")&amp;ROUND(((M32-INT(M32))*60),0)))</f>
        <v/>
      </c>
    </row>
    <row r="33" spans="4:15" ht="17" customHeight="1" x14ac:dyDescent="0.15">
      <c r="D33" s="23"/>
      <c r="E33" s="66"/>
      <c r="F33" s="67"/>
      <c r="G33" s="67"/>
      <c r="H33" s="67"/>
      <c r="I33" s="67"/>
      <c r="J33" s="67"/>
      <c r="K33" s="68"/>
      <c r="L33" t="str">
        <f t="shared" si="3"/>
        <v/>
      </c>
      <c r="M33" t="str">
        <f t="shared" si="2"/>
        <v/>
      </c>
      <c r="N33" s="5" t="str">
        <f>IF(ISBLANK(D33),"",Open_time Control_1+(INT(L33)&amp;":"&amp;IF(ROUND(((L33-INT(L33))*60),0)&lt;10,0,"")&amp;ROUND(((L33-INT(L33))*60),0)))</f>
        <v/>
      </c>
      <c r="O33" s="5" t="str">
        <f>IF(ISBLANK(D33),"",Open_time Control_1+(INT(M33)&amp;":"&amp;IF(ROUND(((M33-INT(M33))*60),0)&lt;10,0,"")&amp;ROUND(((M33-INT(M33))*60),0)))</f>
        <v/>
      </c>
    </row>
    <row r="34" spans="4:15" ht="17" customHeight="1" x14ac:dyDescent="0.15">
      <c r="D34" s="23"/>
      <c r="E34" s="66"/>
      <c r="F34" s="67"/>
      <c r="G34" s="67"/>
      <c r="H34" s="67"/>
      <c r="I34" s="68"/>
      <c r="J34" s="67"/>
      <c r="K34" s="68"/>
      <c r="L34" t="str">
        <f t="shared" si="3"/>
        <v/>
      </c>
      <c r="M34" t="str">
        <f t="shared" si="2"/>
        <v/>
      </c>
      <c r="N34" s="5" t="str">
        <f>IF(ISBLANK(D34),"",Open_time Control_1+(INT(L34)&amp;":"&amp;IF(ROUND(((L34-INT(L34))*60),0)&lt;10,0,"")&amp;ROUND(((L34-INT(L34))*60),0)))</f>
        <v/>
      </c>
      <c r="O34" s="5" t="str">
        <f>IF(ISBLANK(D34),"",Open_time Control_1+(INT(M34)&amp;":"&amp;IF(ROUND(((M34-INT(M34))*60),0)&lt;10,0,"")&amp;ROUND(((M34-INT(M34))*60),0)))</f>
        <v/>
      </c>
    </row>
    <row r="35" spans="4:15" ht="17" customHeight="1" x14ac:dyDescent="0.15">
      <c r="D35" s="23"/>
      <c r="E35" s="66"/>
      <c r="F35" s="67"/>
      <c r="G35" s="67"/>
      <c r="H35" s="68"/>
      <c r="I35" s="67"/>
      <c r="J35" s="67"/>
      <c r="K35" s="68"/>
      <c r="L35" t="str">
        <f t="shared" si="3"/>
        <v/>
      </c>
      <c r="M35" t="str">
        <f t="shared" si="2"/>
        <v/>
      </c>
      <c r="N35" s="5" t="str">
        <f>IF(ISBLANK(D35),"",Open_time Control_1+(INT(L35)&amp;":"&amp;IF(ROUND(((L35-INT(L35))*60),0)&lt;10,0,"")&amp;ROUND(((L35-INT(L35))*60),0)))</f>
        <v/>
      </c>
      <c r="O35" s="5" t="str">
        <f>IF(ISBLANK(D35),"",Open_time Control_1+(INT(M35)&amp;":"&amp;IF(ROUND(((M35-INT(M35))*60),0)&lt;10,0,"")&amp;ROUND(((M35-INT(M35))*60),0)))</f>
        <v/>
      </c>
    </row>
    <row r="36" spans="4:15" ht="17" customHeight="1" x14ac:dyDescent="0.15">
      <c r="D36" s="23"/>
      <c r="E36" s="66"/>
      <c r="F36" s="67"/>
      <c r="G36" s="67"/>
      <c r="H36" s="67"/>
      <c r="I36" s="67"/>
      <c r="J36" s="67"/>
      <c r="K36" s="68"/>
      <c r="L36" t="str">
        <f t="shared" si="3"/>
        <v/>
      </c>
      <c r="M36" t="str">
        <f t="shared" si="2"/>
        <v/>
      </c>
      <c r="N36" s="5" t="str">
        <f>IF(ISBLANK(D36),"",Open_time Control_1+(INT(L36)&amp;":"&amp;IF(ROUND(((L36-INT(L36))*60),0)&lt;10,0,"")&amp;ROUND(((L36-INT(L36))*60),0)))</f>
        <v/>
      </c>
      <c r="O36" s="5" t="str">
        <f>IF(ISBLANK(D36),"",Open_time Control_1+(INT(M36)&amp;":"&amp;IF(ROUND(((M36-INT(M36))*60),0)&lt;10,0,"")&amp;ROUND(((M36-INT(M36))*60),0)))</f>
        <v/>
      </c>
    </row>
    <row r="37" spans="4:15" ht="17" customHeight="1" thickBot="1" x14ac:dyDescent="0.2">
      <c r="D37" s="47"/>
      <c r="E37" s="69" t="s">
        <v>91</v>
      </c>
      <c r="F37" s="70"/>
      <c r="G37" s="70"/>
      <c r="H37" s="70"/>
      <c r="I37" s="70"/>
      <c r="J37" s="70"/>
      <c r="K37" s="71"/>
      <c r="L37" t="str">
        <f t="shared" si="3"/>
        <v/>
      </c>
      <c r="M37" t="str">
        <f t="shared" si="2"/>
        <v/>
      </c>
      <c r="N37" s="5" t="str">
        <f>IF(ISBLANK(D37),"",Open_time Control_1+(INT(L37)&amp;":"&amp;IF(ROUND(((L37-INT(L37))*60),0)&lt;10,0,"")&amp;ROUND(((L37-INT(L37))*60),0)))</f>
        <v/>
      </c>
      <c r="O37" s="5" t="str">
        <f>IF(ISBLANK(D37),"",Open_time Control_1+(INT(M37)&amp;":"&amp;IF(ROUND(((M37-INT(M37))*60),0)&lt;10,0,"")&amp;ROUND(((M37-INT(M37))*60),0)))</f>
        <v/>
      </c>
    </row>
    <row r="38" spans="4:15" ht="7" customHeight="1" thickBot="1" x14ac:dyDescent="0.25">
      <c r="D38" s="56"/>
      <c r="E38" s="57"/>
      <c r="F38" s="58"/>
      <c r="G38" s="58"/>
      <c r="H38" s="58"/>
      <c r="I38" s="58"/>
      <c r="J38" s="58"/>
      <c r="K38" s="59"/>
      <c r="N38" s="5"/>
      <c r="O38" s="5"/>
    </row>
    <row r="39" spans="4:15" ht="14" thickBot="1" x14ac:dyDescent="0.2">
      <c r="D39" s="98" t="s">
        <v>79</v>
      </c>
      <c r="E39" s="99"/>
      <c r="F39" s="99"/>
      <c r="G39" s="99"/>
      <c r="H39" s="99"/>
      <c r="I39" s="98" t="s">
        <v>78</v>
      </c>
      <c r="J39" s="99"/>
      <c r="K39" s="100"/>
    </row>
    <row r="40" spans="4:15" ht="14" thickBot="1" x14ac:dyDescent="0.2">
      <c r="D40" s="6" t="s">
        <v>24</v>
      </c>
      <c r="E40" s="7" t="s">
        <v>25</v>
      </c>
      <c r="F40" s="54" t="s">
        <v>26</v>
      </c>
      <c r="G40" s="54" t="s">
        <v>27</v>
      </c>
      <c r="H40" s="78" t="s">
        <v>28</v>
      </c>
      <c r="I40" s="7" t="s">
        <v>60</v>
      </c>
      <c r="J40" s="7" t="s">
        <v>61</v>
      </c>
      <c r="K40" s="8" t="s">
        <v>62</v>
      </c>
      <c r="L40" t="s">
        <v>3</v>
      </c>
      <c r="M40" t="s">
        <v>4</v>
      </c>
      <c r="N40" t="s">
        <v>5</v>
      </c>
      <c r="O40" t="s">
        <v>6</v>
      </c>
    </row>
    <row r="41" spans="4:15" ht="17" customHeight="1" x14ac:dyDescent="0.15">
      <c r="D41" s="23"/>
      <c r="E41" s="66"/>
      <c r="F41" s="67"/>
      <c r="G41" s="67"/>
      <c r="H41" s="68"/>
      <c r="I41" s="67"/>
      <c r="J41" s="67"/>
      <c r="K41" s="68"/>
      <c r="L41" t="str">
        <f>IF(ISBLANK(D41),"",IF(D41&gt;1000,(D41-1000)/26+33.0847,(IF(D41&gt;600,(D41-600)/28+18.799,(IF(D41&gt;400,(D41-400)/30+12.1324,(IF(D41&gt;200,(D41-200)/32+5.8824,D41/34))))))))</f>
        <v/>
      </c>
      <c r="M41" t="str">
        <f t="shared" ref="M41:M50" si="4">IF(ISBLANK(D41),"",IF((D41=0),1,IF(D41&gt;=brevet,IF(brevet&gt;1200,(brevet-1200)*75/1000+90,Max_time),IF(D41&gt;1200,(D41-1200)*75/1000+90,IF(D41&gt;1000,(D41-1000)/(1000/75)+75,IF(D41&gt;600,(D41-600)/(400/35)+40,IF(D41&lt;=60,D41/20+1,D41/15)))))))</f>
        <v/>
      </c>
      <c r="N41" s="5" t="str">
        <f>IF(ISBLANK(D41),"",Open_time Control_1+(INT(L41)&amp;":"&amp;IF(ROUND(((L41-INT(L41))*60),0)&lt;10,0,"")&amp;ROUND(((L41-INT(L41))*60),0)))</f>
        <v/>
      </c>
      <c r="O41" s="5" t="str">
        <f>IF(ISBLANK(D41),"",Open_time Control_1+(INT(M41)&amp;":"&amp;IF(ROUND(((M41-INT(M41))*60),0)&lt;10,0,"")&amp;ROUND(((M41-INT(M41))*60),0)))</f>
        <v/>
      </c>
    </row>
    <row r="42" spans="4:15" ht="17" customHeight="1" x14ac:dyDescent="0.15">
      <c r="D42" s="23"/>
      <c r="E42" s="66"/>
      <c r="F42" s="67"/>
      <c r="G42" s="67"/>
      <c r="H42" s="68"/>
      <c r="I42" s="67"/>
      <c r="J42" s="67"/>
      <c r="K42" s="68"/>
      <c r="L42" t="str">
        <f t="shared" ref="L42:L50" si="5">IF(ISBLANK(D42),"",IF(D42&gt;1000,(D42-1000)/26+33.0847,(IF(D42&gt;600,(D42-600)/28+18.799,(IF(D42&gt;400,(D42-400)/30+12.1324,(IF(D42&gt;200,(D42-200)/32+5.8824,D42/34))))))))</f>
        <v/>
      </c>
      <c r="M42" t="str">
        <f t="shared" si="4"/>
        <v/>
      </c>
      <c r="N42" s="5" t="str">
        <f>IF(ISBLANK(D42),"",Open_time Control_1+(INT(L42)&amp;":"&amp;IF(ROUND(((L42-INT(L42))*60),0)&lt;10,0,"")&amp;ROUND(((L42-INT(L42))*60),0)))</f>
        <v/>
      </c>
      <c r="O42" s="5" t="str">
        <f>IF(ISBLANK(D42),"",Open_time Control_1+(INT(M42)&amp;":"&amp;IF(ROUND(((M42-INT(M42))*60),0)&lt;10,0,"")&amp;ROUND(((M42-INT(M42))*60),0)))</f>
        <v/>
      </c>
    </row>
    <row r="43" spans="4:15" ht="17" customHeight="1" x14ac:dyDescent="0.15">
      <c r="D43" s="23"/>
      <c r="E43" s="66"/>
      <c r="F43" s="67"/>
      <c r="G43" s="67"/>
      <c r="H43" s="68"/>
      <c r="I43" s="67"/>
      <c r="J43" s="67"/>
      <c r="K43" s="68"/>
      <c r="L43" t="str">
        <f t="shared" si="5"/>
        <v/>
      </c>
      <c r="M43" t="str">
        <f t="shared" si="4"/>
        <v/>
      </c>
      <c r="N43" s="5" t="str">
        <f>IF(ISBLANK(D43),"",Open_time Control_1+(INT(L43)&amp;":"&amp;IF(ROUND(((L43-INT(L43))*60),0)&lt;10,0,"")&amp;ROUND(((L43-INT(L43))*60),0)))</f>
        <v/>
      </c>
      <c r="O43" s="5" t="str">
        <f>IF(ISBLANK(D43),"",Open_time Control_1+(INT(M43)&amp;":"&amp;IF(ROUND(((M43-INT(M43))*60),0)&lt;10,0,"")&amp;ROUND(((M43-INT(M43))*60),0)))</f>
        <v/>
      </c>
    </row>
    <row r="44" spans="4:15" ht="17" customHeight="1" x14ac:dyDescent="0.15">
      <c r="D44" s="23"/>
      <c r="E44" s="66"/>
      <c r="F44" s="67"/>
      <c r="G44" s="67"/>
      <c r="H44" s="68"/>
      <c r="I44" s="67"/>
      <c r="J44" s="67"/>
      <c r="K44" s="68"/>
      <c r="L44" t="str">
        <f t="shared" si="5"/>
        <v/>
      </c>
      <c r="M44" t="str">
        <f t="shared" si="4"/>
        <v/>
      </c>
      <c r="N44" s="5" t="str">
        <f>IF(ISBLANK(D44),"",Open_time Control_1+(INT(L44)&amp;":"&amp;IF(ROUND(((L44-INT(L44))*60),0)&lt;10,0,"")&amp;ROUND(((L44-INT(L44))*60),0)))</f>
        <v/>
      </c>
      <c r="O44" s="5" t="str">
        <f>IF(ISBLANK(D44),"",Open_time Control_1+(INT(M44)&amp;":"&amp;IF(ROUND(((M44-INT(M44))*60),0)&lt;10,0,"")&amp;ROUND(((M44-INT(M44))*60),0)))</f>
        <v/>
      </c>
    </row>
    <row r="45" spans="4:15" ht="17" customHeight="1" x14ac:dyDescent="0.15">
      <c r="D45" s="23"/>
      <c r="E45" s="66"/>
      <c r="F45" s="67"/>
      <c r="G45" s="67"/>
      <c r="H45" s="68"/>
      <c r="I45" s="67"/>
      <c r="J45" s="67"/>
      <c r="K45" s="68"/>
      <c r="L45" t="str">
        <f t="shared" si="5"/>
        <v/>
      </c>
      <c r="M45" t="str">
        <f t="shared" si="4"/>
        <v/>
      </c>
      <c r="N45" s="5" t="str">
        <f>IF(ISBLANK(D45),"",Open_time Control_1+(INT(L45)&amp;":"&amp;IF(ROUND(((L45-INT(L45))*60),0)&lt;10,0,"")&amp;ROUND(((L45-INT(L45))*60),0)))</f>
        <v/>
      </c>
      <c r="O45" s="5" t="str">
        <f>IF(ISBLANK(D45),"",Open_time Control_1+(INT(M45)&amp;":"&amp;IF(ROUND(((M45-INT(M45))*60),0)&lt;10,0,"")&amp;ROUND(((M45-INT(M45))*60),0)))</f>
        <v/>
      </c>
    </row>
    <row r="46" spans="4:15" ht="17" customHeight="1" x14ac:dyDescent="0.15">
      <c r="D46" s="23"/>
      <c r="E46" s="66"/>
      <c r="F46" s="67"/>
      <c r="G46" s="67"/>
      <c r="H46" s="68"/>
      <c r="I46" s="67"/>
      <c r="J46" s="67"/>
      <c r="K46" s="68"/>
      <c r="L46" t="str">
        <f t="shared" si="5"/>
        <v/>
      </c>
      <c r="M46" t="str">
        <f t="shared" si="4"/>
        <v/>
      </c>
      <c r="N46" s="5" t="str">
        <f>IF(ISBLANK(D46),"",Open_time Control_1+(INT(L46)&amp;":"&amp;IF(ROUND(((L46-INT(L46))*60),0)&lt;10,0,"")&amp;ROUND(((L46-INT(L46))*60),0)))</f>
        <v/>
      </c>
      <c r="O46" s="5" t="str">
        <f>IF(ISBLANK(D46),"",Open_time Control_1+(INT(M46)&amp;":"&amp;IF(ROUND(((M46-INT(M46))*60),0)&lt;10,0,"")&amp;ROUND(((M46-INT(M46))*60),0)))</f>
        <v/>
      </c>
    </row>
    <row r="47" spans="4:15" ht="17" customHeight="1" x14ac:dyDescent="0.15">
      <c r="D47" s="23"/>
      <c r="E47" s="66"/>
      <c r="F47" s="67"/>
      <c r="G47" s="67"/>
      <c r="H47" s="68"/>
      <c r="I47" s="67"/>
      <c r="J47" s="67"/>
      <c r="K47" s="68"/>
      <c r="L47" t="str">
        <f t="shared" si="5"/>
        <v/>
      </c>
      <c r="M47" t="str">
        <f t="shared" si="4"/>
        <v/>
      </c>
      <c r="N47" s="5" t="str">
        <f>IF(ISBLANK(D47),"",Open_time Control_1+(INT(L47)&amp;":"&amp;IF(ROUND(((L47-INT(L47))*60),0)&lt;10,0,"")&amp;ROUND(((L47-INT(L47))*60),0)))</f>
        <v/>
      </c>
      <c r="O47" s="5" t="str">
        <f>IF(ISBLANK(D47),"",Open_time Control_1+(INT(M47)&amp;":"&amp;IF(ROUND(((M47-INT(M47))*60),0)&lt;10,0,"")&amp;ROUND(((M47-INT(M47))*60),0)))</f>
        <v/>
      </c>
    </row>
    <row r="48" spans="4:15" ht="17" customHeight="1" x14ac:dyDescent="0.15">
      <c r="D48" s="23"/>
      <c r="E48" s="66"/>
      <c r="F48" s="67"/>
      <c r="G48" s="67"/>
      <c r="H48" s="68"/>
      <c r="I48" s="68"/>
      <c r="J48" s="67"/>
      <c r="K48" s="68"/>
      <c r="L48" t="str">
        <f t="shared" si="5"/>
        <v/>
      </c>
      <c r="M48" t="str">
        <f t="shared" si="4"/>
        <v/>
      </c>
      <c r="N48" s="5" t="str">
        <f>IF(ISBLANK(D48),"",Open_time Control_1+(INT(L48)&amp;":"&amp;IF(ROUND(((L48-INT(L48))*60),0)&lt;10,0,"")&amp;ROUND(((L48-INT(L48))*60),0)))</f>
        <v/>
      </c>
      <c r="O48" s="5" t="str">
        <f>IF(ISBLANK(D48),"",Open_time Control_1+(INT(M48)&amp;":"&amp;IF(ROUND(((M48-INT(M48))*60),0)&lt;10,0,"")&amp;ROUND(((M48-INT(M48))*60),0)))</f>
        <v/>
      </c>
    </row>
    <row r="49" spans="4:15" ht="17" customHeight="1" x14ac:dyDescent="0.15">
      <c r="D49" s="23"/>
      <c r="E49" s="66"/>
      <c r="F49" s="67"/>
      <c r="G49" s="67"/>
      <c r="H49" s="68"/>
      <c r="I49" s="67"/>
      <c r="J49" s="67"/>
      <c r="K49" s="68"/>
      <c r="L49" t="str">
        <f t="shared" si="5"/>
        <v/>
      </c>
      <c r="M49" t="str">
        <f t="shared" si="4"/>
        <v/>
      </c>
      <c r="N49" s="5" t="str">
        <f>IF(ISBLANK(D49),"",Open_time Control_1+(INT(L49)&amp;":"&amp;IF(ROUND(((L49-INT(L49))*60),0)&lt;10,0,"")&amp;ROUND(((L49-INT(L49))*60),0)))</f>
        <v/>
      </c>
      <c r="O49" s="5" t="str">
        <f>IF(ISBLANK(D49),"",Open_time Control_1+(INT(M49)&amp;":"&amp;IF(ROUND(((M49-INT(M49))*60),0)&lt;10,0,"")&amp;ROUND(((M49-INT(M49))*60),0)))</f>
        <v/>
      </c>
    </row>
    <row r="50" spans="4:15" ht="17" customHeight="1" thickBot="1" x14ac:dyDescent="0.2">
      <c r="D50" s="47"/>
      <c r="E50" s="69"/>
      <c r="F50" s="70"/>
      <c r="G50" s="70"/>
      <c r="H50" s="71"/>
      <c r="I50" s="70"/>
      <c r="J50" s="70"/>
      <c r="K50" s="71"/>
      <c r="L50" t="str">
        <f t="shared" si="5"/>
        <v/>
      </c>
      <c r="M50" t="str">
        <f t="shared" si="4"/>
        <v/>
      </c>
      <c r="N50" s="5" t="str">
        <f>IF(ISBLANK(D50),"",Open_time Control_1+(INT(L50)&amp;":"&amp;IF(ROUND(((L50-INT(L50))*60),0)&lt;10,0,"")&amp;ROUND(((L50-INT(L50))*60),0)))</f>
        <v/>
      </c>
      <c r="O50" s="5" t="str">
        <f>IF(ISBLANK(D50),"",Open_time Control_1+(INT(M50)&amp;":"&amp;IF(ROUND(((M50-INT(M50))*60),0)&lt;10,0,"")&amp;ROUND(((M50-INT(M50))*60),0)))</f>
        <v/>
      </c>
    </row>
    <row r="51" spans="4:15" ht="7" customHeight="1" thickBot="1" x14ac:dyDescent="0.25">
      <c r="D51" s="56"/>
      <c r="E51" s="57"/>
      <c r="F51" s="58"/>
      <c r="G51" s="58"/>
      <c r="H51" s="58"/>
      <c r="I51" s="58"/>
      <c r="J51" s="58"/>
      <c r="K51" s="59"/>
      <c r="N51" s="5"/>
      <c r="O51" s="5"/>
    </row>
    <row r="52" spans="4:15" ht="14" thickBot="1" x14ac:dyDescent="0.2">
      <c r="D52" s="98" t="s">
        <v>87</v>
      </c>
      <c r="E52" s="99"/>
      <c r="F52" s="99"/>
      <c r="G52" s="99"/>
      <c r="H52" s="99"/>
      <c r="I52" s="98" t="s">
        <v>88</v>
      </c>
      <c r="J52" s="99"/>
      <c r="K52" s="100"/>
    </row>
    <row r="53" spans="4:15" ht="14" thickBot="1" x14ac:dyDescent="0.2">
      <c r="D53" s="6" t="s">
        <v>24</v>
      </c>
      <c r="E53" s="7" t="s">
        <v>25</v>
      </c>
      <c r="F53" s="54" t="s">
        <v>26</v>
      </c>
      <c r="G53" s="54" t="s">
        <v>27</v>
      </c>
      <c r="H53" s="78" t="s">
        <v>28</v>
      </c>
      <c r="I53" s="7" t="s">
        <v>60</v>
      </c>
      <c r="J53" s="7" t="s">
        <v>61</v>
      </c>
      <c r="K53" s="8" t="s">
        <v>62</v>
      </c>
      <c r="L53" t="s">
        <v>3</v>
      </c>
      <c r="M53" t="s">
        <v>4</v>
      </c>
      <c r="N53" t="s">
        <v>5</v>
      </c>
      <c r="O53" t="s">
        <v>6</v>
      </c>
    </row>
    <row r="54" spans="4:15" ht="17" customHeight="1" x14ac:dyDescent="0.15">
      <c r="D54" s="23"/>
      <c r="E54" s="66"/>
      <c r="F54" s="67"/>
      <c r="G54" s="67"/>
      <c r="H54" s="68"/>
      <c r="I54" s="67"/>
      <c r="J54" s="67"/>
      <c r="K54" s="68"/>
      <c r="L54" t="str">
        <f>IF(ISBLANK(D54),"",IF(D54&gt;1000,(D54-1000)/26+33.0847,(IF(D54&gt;600,(D54-600)/28+18.799,(IF(D54&gt;400,(D54-400)/30+12.1324,(IF(D54&gt;200,(D54-200)/32+5.8824,D54/34))))))))</f>
        <v/>
      </c>
      <c r="M54" t="str">
        <f t="shared" ref="M54:M63" si="6">IF(ISBLANK(D54),"",IF((D54=0),1,IF(D54&gt;=brevet,IF(brevet&gt;1200,(brevet-1200)*75/1000+90,Max_time),IF(D54&gt;1200,(D54-1200)*75/1000+90,IF(D54&gt;1000,(D54-1000)/(1000/75)+75,IF(D54&gt;600,(D54-600)/(400/35)+40,IF(D54&lt;=60,D54/20+1,D54/15)))))))</f>
        <v/>
      </c>
      <c r="N54" s="5" t="str">
        <f>IF(ISBLANK(D54),"",Open_time Control_1+(INT(L54)&amp;":"&amp;IF(ROUND(((L54-INT(L54))*60),0)&lt;10,0,"")&amp;ROUND(((L54-INT(L54))*60),0)))</f>
        <v/>
      </c>
      <c r="O54" s="5" t="str">
        <f>IF(ISBLANK(D54),"",Open_time Control_1+(INT(M54)&amp;":"&amp;IF(ROUND(((M54-INT(M54))*60),0)&lt;10,0,"")&amp;ROUND(((M54-INT(M54))*60),0)))</f>
        <v/>
      </c>
    </row>
    <row r="55" spans="4:15" ht="17" customHeight="1" x14ac:dyDescent="0.15">
      <c r="D55" s="23"/>
      <c r="E55" s="66"/>
      <c r="F55" s="67"/>
      <c r="G55" s="67"/>
      <c r="H55" s="68"/>
      <c r="I55" s="67"/>
      <c r="J55" s="67"/>
      <c r="K55" s="68"/>
      <c r="L55" t="str">
        <f t="shared" ref="L55:L63" si="7">IF(ISBLANK(D55),"",IF(D55&gt;1000,(D55-1000)/26+33.0847,(IF(D55&gt;600,(D55-600)/28+18.799,(IF(D55&gt;400,(D55-400)/30+12.1324,(IF(D55&gt;200,(D55-200)/32+5.8824,D55/34))))))))</f>
        <v/>
      </c>
      <c r="M55" t="str">
        <f t="shared" si="6"/>
        <v/>
      </c>
      <c r="N55" s="5" t="str">
        <f>IF(ISBLANK(D55),"",Open_time Control_1+(INT(L55)&amp;":"&amp;IF(ROUND(((L55-INT(L55))*60),0)&lt;10,0,"")&amp;ROUND(((L55-INT(L55))*60),0)))</f>
        <v/>
      </c>
      <c r="O55" s="5" t="str">
        <f>IF(ISBLANK(D55),"",Open_time Control_1+(INT(M55)&amp;":"&amp;IF(ROUND(((M55-INT(M55))*60),0)&lt;10,0,"")&amp;ROUND(((M55-INT(M55))*60),0)))</f>
        <v/>
      </c>
    </row>
    <row r="56" spans="4:15" ht="17" customHeight="1" x14ac:dyDescent="0.15">
      <c r="D56" s="23"/>
      <c r="E56" s="66"/>
      <c r="F56" s="67"/>
      <c r="G56" s="67"/>
      <c r="H56" s="68"/>
      <c r="I56" s="67"/>
      <c r="J56" s="67"/>
      <c r="K56" s="68"/>
      <c r="L56" t="str">
        <f t="shared" si="7"/>
        <v/>
      </c>
      <c r="M56" t="str">
        <f t="shared" si="6"/>
        <v/>
      </c>
      <c r="N56" s="5" t="str">
        <f>IF(ISBLANK(D56),"",Open_time Control_1+(INT(L56)&amp;":"&amp;IF(ROUND(((L56-INT(L56))*60),0)&lt;10,0,"")&amp;ROUND(((L56-INT(L56))*60),0)))</f>
        <v/>
      </c>
      <c r="O56" s="5" t="str">
        <f>IF(ISBLANK(D56),"",Open_time Control_1+(INT(M56)&amp;":"&amp;IF(ROUND(((M56-INT(M56))*60),0)&lt;10,0,"")&amp;ROUND(((M56-INT(M56))*60),0)))</f>
        <v/>
      </c>
    </row>
    <row r="57" spans="4:15" ht="17" customHeight="1" x14ac:dyDescent="0.15">
      <c r="D57" s="23"/>
      <c r="E57" s="66"/>
      <c r="F57" s="67"/>
      <c r="G57" s="67"/>
      <c r="H57" s="68"/>
      <c r="I57" s="67"/>
      <c r="J57" s="67"/>
      <c r="K57" s="68"/>
      <c r="L57" t="str">
        <f t="shared" si="7"/>
        <v/>
      </c>
      <c r="M57" t="str">
        <f t="shared" si="6"/>
        <v/>
      </c>
      <c r="N57" s="5" t="str">
        <f>IF(ISBLANK(D57),"",Open_time Control_1+(INT(L57)&amp;":"&amp;IF(ROUND(((L57-INT(L57))*60),0)&lt;10,0,"")&amp;ROUND(((L57-INT(L57))*60),0)))</f>
        <v/>
      </c>
      <c r="O57" s="5" t="str">
        <f>IF(ISBLANK(D57),"",Open_time Control_1+(INT(M57)&amp;":"&amp;IF(ROUND(((M57-INT(M57))*60),0)&lt;10,0,"")&amp;ROUND(((M57-INT(M57))*60),0)))</f>
        <v/>
      </c>
    </row>
    <row r="58" spans="4:15" ht="17" customHeight="1" x14ac:dyDescent="0.15">
      <c r="D58" s="23"/>
      <c r="E58" s="66"/>
      <c r="F58" s="67"/>
      <c r="G58" s="67"/>
      <c r="H58" s="68"/>
      <c r="I58" s="67"/>
      <c r="J58" s="67"/>
      <c r="K58" s="68"/>
      <c r="L58" t="str">
        <f t="shared" si="7"/>
        <v/>
      </c>
      <c r="M58" t="str">
        <f t="shared" si="6"/>
        <v/>
      </c>
      <c r="N58" s="5" t="str">
        <f>IF(ISBLANK(D58),"",Open_time Control_1+(INT(L58)&amp;":"&amp;IF(ROUND(((L58-INT(L58))*60),0)&lt;10,0,"")&amp;ROUND(((L58-INT(L58))*60),0)))</f>
        <v/>
      </c>
      <c r="O58" s="5" t="str">
        <f>IF(ISBLANK(D58),"",Open_time Control_1+(INT(M58)&amp;":"&amp;IF(ROUND(((M58-INT(M58))*60),0)&lt;10,0,"")&amp;ROUND(((M58-INT(M58))*60),0)))</f>
        <v/>
      </c>
    </row>
    <row r="59" spans="4:15" ht="17" customHeight="1" x14ac:dyDescent="0.15">
      <c r="D59" s="23"/>
      <c r="E59" s="66"/>
      <c r="F59" s="67"/>
      <c r="G59" s="67"/>
      <c r="H59" s="68"/>
      <c r="I59" s="67"/>
      <c r="J59" s="67"/>
      <c r="K59" s="68"/>
      <c r="L59" t="str">
        <f t="shared" si="7"/>
        <v/>
      </c>
      <c r="M59" t="str">
        <f t="shared" si="6"/>
        <v/>
      </c>
      <c r="N59" s="5" t="str">
        <f>IF(ISBLANK(D59),"",Open_time Control_1+(INT(L59)&amp;":"&amp;IF(ROUND(((L59-INT(L59))*60),0)&lt;10,0,"")&amp;ROUND(((L59-INT(L59))*60),0)))</f>
        <v/>
      </c>
      <c r="O59" s="5" t="str">
        <f>IF(ISBLANK(D59),"",Open_time Control_1+(INT(M59)&amp;":"&amp;IF(ROUND(((M59-INT(M59))*60),0)&lt;10,0,"")&amp;ROUND(((M59-INT(M59))*60),0)))</f>
        <v/>
      </c>
    </row>
    <row r="60" spans="4:15" ht="17" customHeight="1" x14ac:dyDescent="0.15">
      <c r="D60" s="23"/>
      <c r="E60" s="66"/>
      <c r="F60" s="67"/>
      <c r="G60" s="67"/>
      <c r="H60" s="68"/>
      <c r="I60" s="67"/>
      <c r="J60" s="67"/>
      <c r="K60" s="68"/>
      <c r="L60" t="str">
        <f t="shared" si="7"/>
        <v/>
      </c>
      <c r="M60" t="str">
        <f t="shared" si="6"/>
        <v/>
      </c>
      <c r="N60" s="5" t="str">
        <f>IF(ISBLANK(D60),"",Open_time Control_1+(INT(L60)&amp;":"&amp;IF(ROUND(((L60-INT(L60))*60),0)&lt;10,0,"")&amp;ROUND(((L60-INT(L60))*60),0)))</f>
        <v/>
      </c>
      <c r="O60" s="5" t="str">
        <f>IF(ISBLANK(D60),"",Open_time Control_1+(INT(M60)&amp;":"&amp;IF(ROUND(((M60-INT(M60))*60),0)&lt;10,0,"")&amp;ROUND(((M60-INT(M60))*60),0)))</f>
        <v/>
      </c>
    </row>
    <row r="61" spans="4:15" ht="17" customHeight="1" x14ac:dyDescent="0.15">
      <c r="D61" s="23"/>
      <c r="E61" s="66"/>
      <c r="F61" s="67"/>
      <c r="G61" s="67"/>
      <c r="H61" s="68"/>
      <c r="I61" s="67"/>
      <c r="J61" s="67"/>
      <c r="K61" s="68"/>
      <c r="L61" t="str">
        <f t="shared" si="7"/>
        <v/>
      </c>
      <c r="M61" t="str">
        <f t="shared" si="6"/>
        <v/>
      </c>
      <c r="N61" s="5" t="str">
        <f>IF(ISBLANK(D61),"",Open_time Control_1+(INT(L61)&amp;":"&amp;IF(ROUND(((L61-INT(L61))*60),0)&lt;10,0,"")&amp;ROUND(((L61-INT(L61))*60),0)))</f>
        <v/>
      </c>
      <c r="O61" s="5" t="str">
        <f>IF(ISBLANK(D61),"",Open_time Control_1+(INT(M61)&amp;":"&amp;IF(ROUND(((M61-INT(M61))*60),0)&lt;10,0,"")&amp;ROUND(((M61-INT(M61))*60),0)))</f>
        <v/>
      </c>
    </row>
    <row r="62" spans="4:15" ht="17" customHeight="1" x14ac:dyDescent="0.15">
      <c r="D62" s="23"/>
      <c r="E62" s="66"/>
      <c r="F62" s="67"/>
      <c r="G62" s="67"/>
      <c r="H62" s="68"/>
      <c r="I62" s="67"/>
      <c r="J62" s="67"/>
      <c r="K62" s="68"/>
      <c r="L62" t="str">
        <f t="shared" si="7"/>
        <v/>
      </c>
      <c r="M62" t="str">
        <f t="shared" si="6"/>
        <v/>
      </c>
      <c r="N62" s="5" t="str">
        <f>IF(ISBLANK(D62),"",Open_time Control_1+(INT(L62)&amp;":"&amp;IF(ROUND(((L62-INT(L62))*60),0)&lt;10,0,"")&amp;ROUND(((L62-INT(L62))*60),0)))</f>
        <v/>
      </c>
      <c r="O62" s="5" t="str">
        <f>IF(ISBLANK(D62),"",Open_time Control_1+(INT(M62)&amp;":"&amp;IF(ROUND(((M62-INT(M62))*60),0)&lt;10,0,"")&amp;ROUND(((M62-INT(M62))*60),0)))</f>
        <v/>
      </c>
    </row>
    <row r="63" spans="4:15" ht="17" customHeight="1" thickBot="1" x14ac:dyDescent="0.2">
      <c r="D63" s="47"/>
      <c r="E63" s="69"/>
      <c r="F63" s="70"/>
      <c r="G63" s="70"/>
      <c r="H63" s="71"/>
      <c r="I63" s="70"/>
      <c r="J63" s="70"/>
      <c r="K63" s="71"/>
      <c r="L63" t="str">
        <f t="shared" si="7"/>
        <v/>
      </c>
      <c r="M63" t="str">
        <f t="shared" si="6"/>
        <v/>
      </c>
      <c r="N63" s="5" t="str">
        <f>IF(ISBLANK(D63),"",Open_time Control_1+(INT(L63)&amp;":"&amp;IF(ROUND(((L63-INT(L63))*60),0)&lt;10,0,"")&amp;ROUND(((L63-INT(L63))*60),0)))</f>
        <v/>
      </c>
      <c r="O63" s="5" t="str">
        <f>IF(ISBLANK(D63),"",Open_time Control_1+(INT(M63)&amp;":"&amp;IF(ROUND(((M63-INT(M63))*60),0)&lt;10,0,"")&amp;ROUND(((M63-INT(M63))*60),0)))</f>
        <v/>
      </c>
    </row>
  </sheetData>
  <sheetProtection algorithmName="SHA-512" hashValue="hXqSV0bU1chupEFDmG8jcGyvWNS5PnswRem4CQMjxQ0nMAu2s0QEHhTqcZepwEmcZ4YXOuX/yUKRZfDjv3IWAw==" saltValue="rHiEE/Oer+IiCcmxqua5ww==" spinCount="100000" sheet="1" objects="1" scenarios="1" formatCells="0" selectLockedCells="1"/>
  <mergeCells count="12">
    <mergeCell ref="D52:H52"/>
    <mergeCell ref="I52:K52"/>
    <mergeCell ref="Q1:Z5"/>
    <mergeCell ref="A1:H1"/>
    <mergeCell ref="B8:H8"/>
    <mergeCell ref="D39:H39"/>
    <mergeCell ref="I39:K39"/>
    <mergeCell ref="J6:K6"/>
    <mergeCell ref="D13:H13"/>
    <mergeCell ref="D26:H26"/>
    <mergeCell ref="I13:K13"/>
    <mergeCell ref="I26:K26"/>
  </mergeCells>
  <phoneticPr fontId="16" type="noConversion"/>
  <pageMargins left="0.75" right="0.75" top="1" bottom="1" header="0.5" footer="0.5"/>
  <pageSetup orientation="portrait" horizontalDpi="4294967292" verticalDpi="4294967292"/>
  <headerFooter>
    <oddHeader>&amp;A</oddHeader>
    <oddFooter>Page &amp;P</oddFooter>
  </headerFooter>
  <drawing r:id="rId1"/>
  <mc:AlternateContent xmlns:mc="http://schemas.openxmlformats.org/markup-compatibility/2006">
    <mc:Choice Requires="v">
      <legacyDrawing r:id="rId2"/>
    </mc:Choice>
  </mc:AlternateContent>
  <extLst>
    <ext xmlns="http://schemas.openxmlformats.org/spreadsheetml/2006/main" xmlns:mx="http://schemas.microsoft.com/office/mac/excel/2008/main" uri="{64002731-A6B0-56B0-2670-7721B7C09600}">
      <mx:PLV Mode="0" OnePage="0" WScale="0"/>
    </ext>
  </extLst>
</worksheet>
</file>

<file path=xl/worksheets/sheet2.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V40"/>
  <sheetViews>
    <sheetView showGridLines="0" zoomScale="92" zoomScaleNormal="92" zoomScalePageLayoutView="92" workbookViewId="0">
      <selection activeCell="E8" sqref="E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9" width="8.83203125" customWidth="1"/>
  </cols>
  <sheetData>
    <row r="1" spans="1:22" ht="21" thickBot="1" x14ac:dyDescent="0.2">
      <c r="A1" s="116" t="s">
        <v>80</v>
      </c>
      <c r="B1" s="116"/>
      <c r="C1" s="116"/>
      <c r="D1" s="116"/>
      <c r="E1" s="116"/>
      <c r="F1" s="116"/>
      <c r="G1" s="116"/>
      <c r="H1" s="24" t="s">
        <v>29</v>
      </c>
    </row>
    <row r="2" spans="1:22" ht="33.75" customHeight="1" thickBot="1" x14ac:dyDescent="0.25">
      <c r="A2" s="65" t="s">
        <v>30</v>
      </c>
      <c r="B2" s="9" t="s">
        <v>3</v>
      </c>
      <c r="C2" s="9" t="s">
        <v>4</v>
      </c>
      <c r="D2" s="9" t="s">
        <v>25</v>
      </c>
      <c r="E2" s="9" t="s">
        <v>31</v>
      </c>
      <c r="F2" s="9" t="s">
        <v>59</v>
      </c>
      <c r="G2" s="65" t="s">
        <v>32</v>
      </c>
      <c r="H2" s="24" t="s">
        <v>29</v>
      </c>
      <c r="K2" s="115" t="s">
        <v>55</v>
      </c>
      <c r="L2" s="115"/>
      <c r="M2" s="115"/>
      <c r="N2" s="115"/>
      <c r="O2" s="115"/>
      <c r="P2" s="115"/>
      <c r="Q2" s="115"/>
      <c r="R2" s="115"/>
      <c r="S2" s="115"/>
      <c r="T2" s="115"/>
      <c r="U2" s="115"/>
    </row>
    <row r="3" spans="1:22" ht="36" customHeight="1" x14ac:dyDescent="0.45">
      <c r="A3" s="25"/>
      <c r="B3" s="26" t="d">
        <f>Control_1 Open_time</f>
        <v>2023-08-19T06:59:59.99999979045242400</v>
      </c>
      <c r="C3" s="26" t="d">
        <f>Control_1 Close_time</f>
        <v>2023-08-19T07:59:59.99999958090484125</v>
      </c>
      <c r="D3" s="27"/>
      <c r="E3" s="28" t="str">
        <f>IF(ISBLANK(Control_1 Establishment_1),"",Control_1 Establishment_1)</f>
        <v>STAFFED</v>
      </c>
      <c r="F3" s="85" t="str">
        <f>IF(ISBLANK('Control Entry'!I15),"",'Control Entry'!I15)</f>
        <v/>
      </c>
      <c r="G3" s="86"/>
      <c r="H3" s="24" t="s">
        <v>29</v>
      </c>
      <c r="K3" s="14"/>
      <c r="O3" s="133" t="s">
        <v>33</v>
      </c>
      <c r="P3" s="133"/>
      <c r="Q3" s="133"/>
      <c r="R3" s="133"/>
      <c r="S3" s="75" t="str">
        <f>IF('Control Entry'!D28=0,"","#1")</f>
        <v/>
      </c>
      <c r="U3" s="38"/>
    </row>
    <row r="4" spans="1:22" ht="36" customHeight="1" x14ac:dyDescent="0.2">
      <c r="A4" s="34">
        <f>IF(ISBLANK(Distance Control_1),"",Control_1 Distance)</f>
        <v>0</v>
      </c>
      <c r="B4" s="35" t="d">
        <f>Control_1 Open_time</f>
        <v>2023-08-19T06:59:59.99999979045242400</v>
      </c>
      <c r="C4" s="35" t="d">
        <f>Control_1 Close_time</f>
        <v>2023-08-19T07:59:59.99999958090484125</v>
      </c>
      <c r="D4" s="36" t="str">
        <f>IF(ISBLANK(Locale Control_1),"",Locale Control_1)</f>
        <v>PARKSVILLE</v>
      </c>
      <c r="E4" s="28" t="str">
        <f>IF(ISBLANK(Control_1 Establishment_2),"",Control_1 Establishment_2)</f>
        <v>Starbucks</v>
      </c>
      <c r="F4" s="85" t="str">
        <f>IF(ISBLANK('Control Entry'!J15),"",'Control Entry'!J15)</f>
        <v/>
      </c>
      <c r="G4" s="86"/>
      <c r="H4" s="24" t="s">
        <v>29</v>
      </c>
      <c r="K4" s="14"/>
      <c r="M4" s="118" t="str">
        <f>IF(ISBLANK(brevet),"",brevet&amp;" km Randonnée")</f>
        <v>200 km Randonnée</v>
      </c>
      <c r="N4" s="118"/>
      <c r="O4" s="118"/>
      <c r="P4" s="118"/>
      <c r="Q4" s="118"/>
      <c r="R4" s="118"/>
      <c r="S4" s="118"/>
      <c r="T4" s="118"/>
      <c r="U4" s="39"/>
    </row>
    <row r="5" spans="1:22" ht="36" customHeight="1" thickBot="1" x14ac:dyDescent="0.25">
      <c r="A5" s="29"/>
      <c r="B5" s="30" t="d">
        <f>Control_1 Open_time</f>
        <v>2023-08-19T06:59:59.99999979045242400</v>
      </c>
      <c r="C5" s="30" t="d">
        <f>Control_1 Close_time</f>
        <v>2023-08-19T07:59:59.99999958090484125</v>
      </c>
      <c r="D5" s="31"/>
      <c r="E5" s="32" t="str">
        <f>IF(ISBLANK(Control_1 Establishment_3),"",Control_1 Establishment_3)</f>
        <v>382 Island Hwy E @ Mills St</v>
      </c>
      <c r="F5" s="89" t="str">
        <f>IF(ISBLANK('Control Entry'!K15),"",'Control Entry'!K15)</f>
        <v/>
      </c>
      <c r="G5" s="88"/>
      <c r="H5" s="24" t="s">
        <v>29</v>
      </c>
      <c r="K5" s="14"/>
      <c r="M5" s="15"/>
      <c r="N5" s="109" t="s">
        <v>47</v>
      </c>
      <c r="O5" s="109"/>
      <c r="P5" s="52">
        <f>IF(ISBLANK(Brevet_Number),"",Brevet_Number)</f>
        <v>5276</v>
      </c>
      <c r="Q5" s="53"/>
      <c r="R5" s="121" t="d">
        <f>IF(ISBLANK('Control Entry'!$B10),"",'Control Entry'!$B10)</f>
        <v>2023-08-19</v>
      </c>
      <c r="S5" s="121"/>
      <c r="T5" s="121"/>
      <c r="U5" s="121"/>
      <c r="V5" s="40"/>
    </row>
    <row r="6" spans="1:22" ht="36" customHeight="1" x14ac:dyDescent="0.2">
      <c r="A6" s="25"/>
      <c r="B6" s="26" t="d">
        <f>Control_2 Open_time</f>
        <v>2023-08-19T07:38:59.99999987427145575</v>
      </c>
      <c r="C6" s="26" t="d">
        <f>Control_2 Close_time</f>
        <v>2023-08-19T09:05:59.99999991618096825</v>
      </c>
      <c r="D6" s="33"/>
      <c r="E6" s="28" t="str">
        <f>IF(ISBLANK(Control_2 Establishment_1),"",Control_2 Establishment_1)</f>
        <v>INFORMATION</v>
      </c>
      <c r="F6" s="85" t="str">
        <f>IF(ISBLANK('Control Entry'!I16),"",'Control Entry'!I16)</f>
        <v>Main sign to left of trail to falls</v>
      </c>
      <c r="G6" s="86"/>
      <c r="H6" s="24" t="s">
        <v>29</v>
      </c>
      <c r="K6" s="14"/>
      <c r="L6" s="136" t="str">
        <f>IF(ISBLANK(Brevet_Description),"",Brevet_Description)</f>
        <v>Coombs Cumberland Explorer</v>
      </c>
      <c r="M6" s="136"/>
      <c r="N6" s="136"/>
      <c r="O6" s="136"/>
      <c r="P6" s="136"/>
      <c r="Q6" s="136"/>
      <c r="R6" s="136"/>
      <c r="S6" s="136"/>
      <c r="T6" s="136"/>
      <c r="U6" s="136"/>
    </row>
    <row r="7" spans="1:22" ht="36" customHeight="1" x14ac:dyDescent="0.2">
      <c r="A7" s="34">
        <f>IF(ISBLANK(Distance Control_2),"",Control_2 Distance)</f>
        <v>22</v>
      </c>
      <c r="B7" s="35" t="d">
        <f>Control_2 Open_time</f>
        <v>2023-08-19T07:38:59.99999987427145575</v>
      </c>
      <c r="C7" s="35" t="d">
        <f>Control_2 Close_time</f>
        <v>2023-08-19T09:05:59.99999991618096825</v>
      </c>
      <c r="D7" s="36" t="str">
        <f>IF(ISBLANK(Locale Control_2),"",Locale Control_2)</f>
        <v>ERRINGTON</v>
      </c>
      <c r="E7" s="48" t="str">
        <f>IF(ISBLANK(Control_2 Establishment_2),"",Control_2 Establishment_2)</f>
        <v>Englishman River Provincial Park</v>
      </c>
      <c r="F7" s="87" t="str">
        <f>IF(ISBLANK('Control Entry'!J16),"",'Control Entry'!J16)</f>
        <v>Left panel "Things to do"</v>
      </c>
      <c r="G7" s="86"/>
      <c r="H7" s="24" t="s">
        <v>29</v>
      </c>
      <c r="J7" s="74"/>
      <c r="L7" s="74"/>
    </row>
    <row r="8" spans="1:22" ht="36" customHeight="1" thickBot="1" x14ac:dyDescent="0.25">
      <c r="A8" s="29"/>
      <c r="B8" s="30" t="d">
        <f>Control_2 Open_time</f>
        <v>2023-08-19T07:38:59.99999987427145575</v>
      </c>
      <c r="C8" s="30" t="d">
        <f>Control_2 Close_time</f>
        <v>2023-08-19T09:05:59.99999991618096825</v>
      </c>
      <c r="D8" s="31"/>
      <c r="E8" s="73" t="str">
        <f>IF(ISBLANK(Control_2 Establishment_3),"",Control_2 Establishment_3)</f>
        <v>Parking lot, end of Errington Rd</v>
      </c>
      <c r="F8" s="89" t="str">
        <f>IF(ISBLANK('Control Entry'!K16),"",'Control Entry'!K16)</f>
        <v>"Playground near campsite __________"</v>
      </c>
      <c r="G8" s="88"/>
      <c r="H8" s="24" t="s">
        <v>29</v>
      </c>
      <c r="J8" s="15" t="s">
        <v>34</v>
      </c>
      <c r="L8" s="122"/>
      <c r="M8" s="122"/>
      <c r="N8" s="122"/>
      <c r="O8" s="122"/>
      <c r="P8" s="122"/>
      <c r="Q8" s="122"/>
      <c r="S8" s="41" t="s">
        <v>46</v>
      </c>
      <c r="T8" s="129"/>
      <c r="U8" s="129"/>
    </row>
    <row r="9" spans="1:22" ht="36" customHeight="1" thickBot="1" x14ac:dyDescent="0.3">
      <c r="A9" s="25"/>
      <c r="B9" s="26" t="d">
        <f>Control_3 Open_time</f>
        <v>2023-08-19T08:18:59.99999952502548675</v>
      </c>
      <c r="C9" s="26" t="d">
        <f>Control_3 Close_time</f>
        <v>2023-08-19T10:14:00.00000001396983525</v>
      </c>
      <c r="D9" s="33"/>
      <c r="E9" s="28" t="str">
        <f>IF(ISBLANK(Control_3 Establishment_1),"",Control_3 Establishment_1)</f>
        <v>INFORMATION</v>
      </c>
      <c r="F9" s="85" t="str">
        <f>IF(ISBLANK('Control Entry'!I17),"",'Control Entry'!I17)</f>
        <v>Face back on route, signpost on right</v>
      </c>
      <c r="G9" s="86"/>
      <c r="H9" s="24" t="s">
        <v>29</v>
      </c>
      <c r="J9" s="15" t="s">
        <v>35</v>
      </c>
      <c r="K9" s="15"/>
      <c r="L9" s="138" t="s">
        <v>54</v>
      </c>
      <c r="M9" s="138"/>
      <c r="N9" s="138"/>
      <c r="O9" s="138"/>
      <c r="P9" s="138"/>
      <c r="Q9" s="138"/>
      <c r="R9" s="138"/>
      <c r="S9" s="138"/>
      <c r="T9" s="138"/>
      <c r="U9" s="138"/>
    </row>
    <row r="10" spans="1:22" ht="36" customHeight="1" thickBot="1" x14ac:dyDescent="0.3">
      <c r="A10" s="34">
        <f>IF(ISBLANK(Distance Control_3),"",Control_3 Distance)</f>
        <v>44.5</v>
      </c>
      <c r="B10" s="35" t="d">
        <f>Control_3 Open_time</f>
        <v>2023-08-19T08:18:59.99999952502548675</v>
      </c>
      <c r="C10" s="35" t="d">
        <f>Control_3 Close_time</f>
        <v>2023-08-19T10:14:00.00000001396983525</v>
      </c>
      <c r="D10" s="36" t="str">
        <f>IF(ISBLANK(Locale Control_3),"",Locale Control_3)</f>
        <v>QUALICUM BEACH</v>
      </c>
      <c r="E10" s="28" t="str">
        <f>IF(ISBLANK(Control_3 Establishment_2),"",Control_3 Establishment_2)</f>
        <v>Little Qualicum River Regional Park</v>
      </c>
      <c r="F10" s="85" t="str">
        <f>IF(ISBLANK('Control Entry'!J17),"",'Control Entry'!J17)</f>
        <v/>
      </c>
      <c r="G10" s="86"/>
      <c r="H10" s="24" t="s">
        <v>29</v>
      </c>
      <c r="J10" s="15"/>
      <c r="K10" s="15"/>
      <c r="L10" s="131"/>
      <c r="M10" s="131"/>
      <c r="N10" s="131"/>
      <c r="O10" s="131"/>
      <c r="P10" s="131"/>
      <c r="Q10" s="131"/>
      <c r="R10" s="131"/>
      <c r="S10" s="131"/>
      <c r="T10" s="131"/>
      <c r="U10" s="131"/>
    </row>
    <row r="11" spans="1:22" ht="36" customHeight="1" thickBot="1" x14ac:dyDescent="0.3">
      <c r="A11" s="29"/>
      <c r="B11" s="30" t="d">
        <f>Control_3 Open_time</f>
        <v>2023-08-19T08:18:59.99999952502548675</v>
      </c>
      <c r="C11" s="30" t="d">
        <f>Control_3 Close_time</f>
        <v>2023-08-19T10:14:00.00000001396983525</v>
      </c>
      <c r="D11" s="31"/>
      <c r="E11" s="32" t="str">
        <f>IF(ISBLANK(Control_3 Establishment_3),"",Control_3 Establishment_3)</f>
        <v>Parking lot, 1505 Meadowood Way</v>
      </c>
      <c r="F11" s="89" t="str">
        <f>IF(ISBLANK('Control Entry'!K17),"",'Control Entry'!K17)</f>
        <v>"Don't be an ___________ target"</v>
      </c>
      <c r="G11" s="88"/>
      <c r="H11" s="24" t="s">
        <v>29</v>
      </c>
      <c r="J11" s="15" t="s">
        <v>36</v>
      </c>
      <c r="K11" s="15"/>
      <c r="L11" s="131"/>
      <c r="M11" s="131"/>
      <c r="N11" s="131"/>
      <c r="O11" s="15"/>
      <c r="P11" s="15" t="s">
        <v>37</v>
      </c>
      <c r="Q11" s="15"/>
      <c r="R11" s="15"/>
      <c r="S11" s="119"/>
      <c r="T11" s="119"/>
      <c r="U11" s="119"/>
    </row>
    <row r="12" spans="1:22" ht="36" customHeight="1" thickBot="1" x14ac:dyDescent="0.3">
      <c r="A12" s="25"/>
      <c r="B12" s="26" t="d">
        <f>Control_4 Open_time</f>
        <v>2023-08-19T10:03:59.99999994412064550</v>
      </c>
      <c r="C12" s="26" t="d">
        <f>Control_4 Close_time</f>
        <v>2023-08-19T13:56:00.00000005587935450</v>
      </c>
      <c r="D12" s="33"/>
      <c r="E12" s="28" t="str">
        <f>IF(ISBLANK(Control_4 Establishment_1),"",Control_4 Establishment_1)</f>
        <v>BUSINESS</v>
      </c>
      <c r="F12" s="85" t="str">
        <f>IF(ISBLANK('Control Entry'!I18),"",'Control Entry'!I18)</f>
        <v/>
      </c>
      <c r="G12" s="86"/>
      <c r="H12" s="24" t="s">
        <v>29</v>
      </c>
      <c r="J12" s="15" t="s">
        <v>38</v>
      </c>
      <c r="K12" s="15"/>
      <c r="L12" s="131"/>
      <c r="M12" s="131"/>
      <c r="N12" s="131"/>
      <c r="O12" s="15"/>
      <c r="P12" s="15" t="s">
        <v>39</v>
      </c>
      <c r="Q12" s="15"/>
      <c r="R12" s="15"/>
      <c r="S12" s="119"/>
      <c r="T12" s="119"/>
      <c r="U12" s="119"/>
    </row>
    <row r="13" spans="1:22" ht="36" customHeight="1" thickBot="1" x14ac:dyDescent="0.3">
      <c r="A13" s="34">
        <f>IF(ISBLANK(Distance Control_4),"",Control_4 Distance)</f>
        <v>104</v>
      </c>
      <c r="B13" s="35" t="d">
        <f>Control_4 Open_time</f>
        <v>2023-08-19T10:03:59.99999994412064550</v>
      </c>
      <c r="C13" s="35" t="d">
        <f>Control_4 Close_time</f>
        <v>2023-08-19T13:56:00.00000005587935450</v>
      </c>
      <c r="D13" s="36" t="str">
        <f>IF(ISBLANK(Locale Control_4),"",Locale Control_4)</f>
        <v>COURTENAY</v>
      </c>
      <c r="E13" s="28" t="str">
        <f>IF(ISBLANK(Control_4 Establishment_2),"",Control_4 Establishment_2)</f>
        <v>D's Café</v>
      </c>
      <c r="F13" s="85" t="str">
        <f>IF(ISBLANK('Control Entry'!J18),"",'Control Entry'!J18)</f>
        <v/>
      </c>
      <c r="G13" s="86"/>
      <c r="H13" s="24" t="s">
        <v>29</v>
      </c>
      <c r="J13" s="15" t="s">
        <v>40</v>
      </c>
      <c r="L13" s="141"/>
      <c r="M13" s="141"/>
      <c r="N13" s="141"/>
      <c r="P13" s="15" t="s">
        <v>41</v>
      </c>
      <c r="Q13" s="15"/>
      <c r="R13" s="120"/>
      <c r="S13" s="120"/>
      <c r="T13" s="120"/>
      <c r="U13" s="120"/>
    </row>
    <row r="14" spans="1:22" ht="36" customHeight="1" thickBot="1" x14ac:dyDescent="0.25">
      <c r="A14" s="29"/>
      <c r="B14" s="30" t="d">
        <f>Control_4 Open_time</f>
        <v>2023-08-19T10:03:59.99999994412064550</v>
      </c>
      <c r="C14" s="30" t="d">
        <f>Control_4 Close_time</f>
        <v>2023-08-19T13:56:00.00000005587935450</v>
      </c>
      <c r="D14" s="31"/>
      <c r="E14" s="32" t="str">
        <f>IF(ISBLANK(Control_4 Establishment_3),"",Control_4 Establishment_3)</f>
        <v>Airpark Marina,102A 20th St</v>
      </c>
      <c r="F14" s="89" t="str">
        <f>IF(ISBLANK('Control Entry'!K18),"",'Control Entry'!K18)</f>
        <v/>
      </c>
      <c r="G14" s="88"/>
      <c r="H14" s="24" t="s">
        <v>29</v>
      </c>
    </row>
    <row r="15" spans="1:22" ht="36" customHeight="1" x14ac:dyDescent="0.2">
      <c r="A15" s="25"/>
      <c r="B15" s="26" t="d">
        <f>Control_5 Open_time</f>
        <v>2023-08-19T10:30:59.999999566935002625</v>
      </c>
      <c r="C15" s="26" t="d">
        <f>Control_5 Close_time</f>
        <v>2023-08-19T14:57:59.99999960884451850</v>
      </c>
      <c r="D15" s="33"/>
      <c r="E15" s="28" t="str">
        <f>IF(ISBLANK(Control_5 Establishment_1),"",Control_5 Establishment_1)</f>
        <v>INFORMATION</v>
      </c>
      <c r="F15" s="85" t="str">
        <f>IF(ISBLANK('Control Entry'!I19),"",'Control Entry'!I19)</f>
        <v>Far end of lot, past picnic shelter</v>
      </c>
      <c r="G15" s="86"/>
      <c r="H15" s="24" t="s">
        <v>29</v>
      </c>
      <c r="J15" s="15"/>
      <c r="L15" s="135" t="s">
        <v>58</v>
      </c>
      <c r="M15" s="135"/>
      <c r="N15" s="135"/>
      <c r="O15" s="135"/>
      <c r="P15" s="135"/>
      <c r="Q15" s="135"/>
      <c r="R15" s="135"/>
      <c r="S15" s="135"/>
      <c r="T15" s="135"/>
      <c r="U15" s="135"/>
    </row>
    <row r="16" spans="1:22" ht="36" customHeight="1" thickBot="1" x14ac:dyDescent="0.25">
      <c r="A16" s="34">
        <f>IF(ISBLANK(Distance Control_5),"",Control_5 Distance)</f>
        <v>119.4</v>
      </c>
      <c r="B16" s="35" t="d">
        <f>Control_5 Open_time</f>
        <v>2023-08-19T10:30:59.999999566935002625</v>
      </c>
      <c r="C16" s="35" t="d">
        <f>Control_5 Close_time</f>
        <v>2023-08-19T14:57:59.99999960884451850</v>
      </c>
      <c r="D16" s="36" t="str">
        <f>IF(ISBLANK(Locale Control_5),"",Locale Control_5)</f>
        <v>CUMBERLAND</v>
      </c>
      <c r="E16" s="28" t="str">
        <f>IF(ISBLANK(Control_5 Establishment_2),"",Control_5 Establishment_2)</f>
        <v>Cumberland Lake Park Campground</v>
      </c>
      <c r="F16" s="85" t="str">
        <f>IF(ISBLANK('Control Entry'!J19),"",'Control Entry'!J19)</f>
        <v>Ginger Goodwin Story' sign</v>
      </c>
      <c r="G16" s="86"/>
      <c r="H16" s="24" t="s">
        <v>29</v>
      </c>
      <c r="L16" s="139"/>
      <c r="M16" s="139"/>
      <c r="N16" s="139"/>
      <c r="O16" s="139"/>
      <c r="P16" s="139"/>
      <c r="Q16" s="139"/>
      <c r="R16" s="139"/>
      <c r="S16" s="139"/>
      <c r="T16" s="139"/>
      <c r="U16" s="139"/>
    </row>
    <row r="17" spans="1:22" ht="36" customHeight="1" thickBot="1" x14ac:dyDescent="0.25">
      <c r="A17" s="29"/>
      <c r="B17" s="30" t="d">
        <f>Control_5 Open_time</f>
        <v>2023-08-19T10:30:59.999999566935002625</v>
      </c>
      <c r="C17" s="30" t="d">
        <f>Control_5 Close_time</f>
        <v>2023-08-19T14:57:59.99999960884451850</v>
      </c>
      <c r="D17" s="31"/>
      <c r="E17" s="32" t="str">
        <f>IF(ISBLANK(Control_5 Establishment_3),"",Control_5 Establishment_3)</f>
        <v>1100 Comox Lake Rd</v>
      </c>
      <c r="F17" s="89" t="str">
        <f>IF(ISBLANK('Control Entry'!K19),"",'Control Entry'!K19)</f>
        <v>"…on Miners _____________Day…"</v>
      </c>
      <c r="G17" s="88"/>
      <c r="H17" s="24" t="s">
        <v>29</v>
      </c>
    </row>
    <row r="18" spans="1:22" ht="36" customHeight="1" x14ac:dyDescent="0.2">
      <c r="A18" s="25"/>
      <c r="B18" s="26" t="d">
        <f>Control_6 Open_time</f>
        <v>2023-08-19T12:01:59.99999976251274675</v>
      </c>
      <c r="C18" s="26" t="d">
        <f>Control_6 Close_time</f>
        <v>2023-08-19T18:23:59.99999966472387300</v>
      </c>
      <c r="D18" s="33"/>
      <c r="E18" s="28" t="str">
        <f>IF(ISBLANK(Control_6 Establishment_1),"",Control_6 Establishment_1)</f>
        <v>BUSINESS</v>
      </c>
      <c r="F18" s="85" t="str">
        <f>IF(ISBLANK('Control Entry'!I20),"",'Control Entry'!I20)</f>
        <v/>
      </c>
      <c r="G18" s="86"/>
      <c r="H18" s="24" t="s">
        <v>29</v>
      </c>
    </row>
    <row r="19" spans="1:22" ht="36" customHeight="1" x14ac:dyDescent="0.2">
      <c r="A19" s="34">
        <f>IF(ISBLANK(Distance Control_6),"",Control_6 Distance)</f>
        <v>171</v>
      </c>
      <c r="B19" s="35" t="d">
        <f>Control_6 Open_time</f>
        <v>2023-08-19T12:01:59.99999976251274675</v>
      </c>
      <c r="C19" s="35" t="d">
        <f>Control_6 Close_time</f>
        <v>2023-08-19T18:23:59.99999966472387300</v>
      </c>
      <c r="D19" s="36" t="str">
        <f>IF(ISBLANK(Locale Control_6),"",Locale Control_6)</f>
        <v>QUALICUM BAY</v>
      </c>
      <c r="E19" s="28" t="str">
        <f>IF(ISBLANK(Control_6 Establishment_2),"",Control_6 Establishment_2)</f>
        <v>Cone Zone</v>
      </c>
      <c r="F19" s="87" t="str">
        <f>IF(ISBLANK('Control Entry'!J20),"",'Control Entry'!J20)</f>
        <v/>
      </c>
      <c r="G19" s="86"/>
      <c r="H19" s="24" t="s">
        <v>29</v>
      </c>
    </row>
    <row r="20" spans="1:22" ht="36" customHeight="1" thickBot="1" x14ac:dyDescent="0.25">
      <c r="A20" s="29"/>
      <c r="B20" s="30" t="d">
        <f>Control_6 Open_time</f>
        <v>2023-08-19T12:01:59.99999976251274675</v>
      </c>
      <c r="C20" s="30" t="d">
        <f>Control_6 Close_time</f>
        <v>2023-08-19T18:23:59.99999966472387300</v>
      </c>
      <c r="D20" s="31"/>
      <c r="E20" s="32" t="str">
        <f>IF(ISBLANK(Control_6 Establishment_3),"",Control_6 Establishment_3)</f>
        <v>5970 Island Hwy W</v>
      </c>
      <c r="F20" s="89" t="str">
        <f>IF(ISBLANK('Control Entry'!K20),"",'Control Entry'!K20)</f>
        <v/>
      </c>
      <c r="G20" s="88"/>
      <c r="H20" s="24" t="s">
        <v>29</v>
      </c>
      <c r="J20" s="50" t="s">
        <v>44</v>
      </c>
      <c r="K20" s="50"/>
      <c r="L20" s="130" t="d">
        <f>IF(ISBLANK('Control Entry'!B12),"",'Control Entry'!B12)</f>
        <v>2023-08-19</v>
      </c>
      <c r="M20" s="130"/>
      <c r="N20" s="130"/>
      <c r="P20" s="15" t="s">
        <v>0</v>
      </c>
      <c r="Q20" s="15"/>
      <c r="S20" s="134" t="d">
        <f>IF(ISBLANK('Control Entry'!B13),"",'Control Entry'!B13)</f>
        <v>07:00:00.0000000000015975</v>
      </c>
      <c r="T20" s="134"/>
      <c r="U20" s="134"/>
    </row>
    <row r="21" spans="1:22" ht="36" customHeight="1" x14ac:dyDescent="0.2">
      <c r="A21" s="25"/>
      <c r="B21" s="26" t="d">
        <f>Control_7 Open_time</f>
        <v>2023-08-19T12:56:59.99999983236193650</v>
      </c>
      <c r="C21" s="26" t="d">
        <f>Control_7 Close_time</f>
        <v>2023-08-19T20:29:59.99999979045242400</v>
      </c>
      <c r="D21" s="33"/>
      <c r="E21" s="28" t="str">
        <f>IF(ISBLANK(Control_7 Establishment_1),"",Control_7 Establishment_1)</f>
        <v>BUSINESS</v>
      </c>
      <c r="F21" s="85" t="str">
        <f>IF(ISBLANK('Control Entry'!I21),"",'Control Entry'!I21)</f>
        <v/>
      </c>
      <c r="G21" s="86"/>
      <c r="H21" s="24" t="s">
        <v>29</v>
      </c>
      <c r="J21" s="50"/>
      <c r="K21" s="50"/>
      <c r="L21" s="44"/>
      <c r="M21" s="44"/>
      <c r="N21" s="44"/>
      <c r="P21" s="15"/>
      <c r="Q21" s="15"/>
      <c r="S21" s="51"/>
      <c r="T21" s="51"/>
      <c r="U21" s="51"/>
    </row>
    <row r="22" spans="1:22" ht="36" customHeight="1" thickBot="1" x14ac:dyDescent="0.25">
      <c r="A22" s="34">
        <f>IF(ISBLANK(Distance Control_7),"",Control_7 Distance)</f>
        <v>202.1</v>
      </c>
      <c r="B22" s="35" t="d">
        <f>Control_7 Open_time</f>
        <v>2023-08-19T12:56:59.99999983236193650</v>
      </c>
      <c r="C22" s="35" t="d">
        <f>Control_7 Close_time</f>
        <v>2023-08-19T20:29:59.99999979045242400</v>
      </c>
      <c r="D22" s="36" t="str">
        <f>IF(ISBLANK(Locale Control_7),"",Locale Control_7)</f>
        <v>PARKSVILLE</v>
      </c>
      <c r="E22" s="28" t="str">
        <f>IF(ISBLANK(Control_7 Establishment_2),"",Control_7 Establishment_2)</f>
        <v>Shell Gas</v>
      </c>
      <c r="F22" s="85" t="str">
        <f>IF(ISBLANK('Control Entry'!J21),"",'Control Entry'!J21)</f>
        <v/>
      </c>
      <c r="G22" s="86"/>
      <c r="H22" s="24" t="s">
        <v>29</v>
      </c>
      <c r="J22" s="50" t="s">
        <v>45</v>
      </c>
      <c r="K22" s="50"/>
      <c r="L22" s="140"/>
      <c r="M22" s="140"/>
      <c r="N22" s="140"/>
      <c r="P22" s="15" t="s">
        <v>1</v>
      </c>
      <c r="Q22" s="15"/>
      <c r="S22" s="137"/>
      <c r="T22" s="137"/>
      <c r="U22" s="137"/>
    </row>
    <row r="23" spans="1:22" ht="36" customHeight="1" thickBot="1" x14ac:dyDescent="0.25">
      <c r="A23" s="29"/>
      <c r="B23" s="30" t="d">
        <f>Control_7 Open_time</f>
        <v>2023-08-19T12:56:59.99999983236193650</v>
      </c>
      <c r="C23" s="30" t="d">
        <f>Control_7 Close_time</f>
        <v>2023-08-19T20:29:59.99999979045242400</v>
      </c>
      <c r="D23" s="31"/>
      <c r="E23" s="32" t="str">
        <f>IF(ISBLANK(Control_7 Establishment_3),"",Control_7 Establishment_3)</f>
        <v>370 Island Hwy E @ McVickers St</v>
      </c>
      <c r="F23" s="89" t="str">
        <f>IF(ISBLANK('Control Entry'!K21),"",'Control Entry'!K21)</f>
        <v/>
      </c>
      <c r="G23" s="88"/>
      <c r="H23" s="24" t="s">
        <v>29</v>
      </c>
      <c r="J23" s="50"/>
      <c r="K23" s="50"/>
      <c r="L23" s="44"/>
      <c r="M23" s="44"/>
      <c r="N23" s="44"/>
      <c r="P23" s="15"/>
      <c r="Q23" s="15"/>
    </row>
    <row r="24" spans="1:22" ht="36" customHeight="1" thickBot="1" x14ac:dyDescent="0.25">
      <c r="A24" s="25"/>
      <c r="B24" s="26" t="str">
        <f>Control_8 Open_time</f>
        <v/>
      </c>
      <c r="C24" s="26" t="str">
        <f>Control_8 Close_time</f>
        <v/>
      </c>
      <c r="D24" s="33"/>
      <c r="E24" s="28" t="str">
        <f>IF(ISBLANK(Control_8 Establishment_1),"",Control_8 Establishment_1)</f>
        <v/>
      </c>
      <c r="F24" s="85" t="str">
        <f>IF(ISBLANK('Control Entry'!I22),"",'Control Entry'!I22)</f>
        <v/>
      </c>
      <c r="G24" s="86"/>
      <c r="H24" s="24" t="s">
        <v>29</v>
      </c>
      <c r="J24" s="137"/>
      <c r="K24" s="137"/>
      <c r="L24" s="137"/>
      <c r="M24" s="137"/>
      <c r="N24" s="137"/>
      <c r="P24" s="15" t="s">
        <v>2</v>
      </c>
      <c r="Q24" s="15"/>
      <c r="S24" s="137"/>
      <c r="T24" s="137"/>
      <c r="U24" s="137"/>
    </row>
    <row r="25" spans="1:22" ht="36" customHeight="1" x14ac:dyDescent="0.2">
      <c r="A25" s="34" t="str">
        <f>IF(ISBLANK(Distance Control_8),"",Control_8 Distance)</f>
        <v/>
      </c>
      <c r="B25" s="35" t="str">
        <f>Control_8 Open_time</f>
        <v/>
      </c>
      <c r="C25" s="35" t="str">
        <f>Control_8 Close_time</f>
        <v/>
      </c>
      <c r="D25" s="36" t="str">
        <f>IF(ISBLANK(Locale Control_8),"",Locale Control_8)</f>
        <v/>
      </c>
      <c r="E25" s="28" t="str">
        <f>IF(ISBLANK(Control_8 Establishment_2),"",Control_8 Establishment_2)</f>
        <v/>
      </c>
      <c r="F25" s="87" t="str">
        <f>IF(ISBLANK('Control Entry'!J22),"",'Control Entry'!J22)</f>
        <v/>
      </c>
      <c r="G25" s="86"/>
      <c r="H25" s="24" t="s">
        <v>29</v>
      </c>
      <c r="J25" s="132" t="s">
        <v>17</v>
      </c>
      <c r="K25" s="132"/>
      <c r="L25" s="132"/>
      <c r="M25" s="132"/>
      <c r="N25" s="132"/>
      <c r="O25" s="46"/>
      <c r="P25" s="111"/>
      <c r="Q25" s="111"/>
      <c r="R25" s="46"/>
      <c r="S25" s="109"/>
      <c r="T25" s="109"/>
      <c r="U25" s="109"/>
      <c r="V25" s="109"/>
    </row>
    <row r="26" spans="1:22" ht="36" customHeight="1" thickBot="1" x14ac:dyDescent="0.25">
      <c r="A26" s="29"/>
      <c r="B26" s="30" t="str">
        <f>Control_8 Open_time</f>
        <v/>
      </c>
      <c r="C26" s="30" t="str">
        <f>Control_8 Close_time</f>
        <v/>
      </c>
      <c r="D26" s="31"/>
      <c r="E26" s="32" t="str">
        <f>IF(ISBLANK(Control_8 Establishment_3),"",Control_8 Establishment_3)</f>
        <v/>
      </c>
      <c r="F26" s="89" t="str">
        <f>IF(ISBLANK('Control Entry'!K22),"",'Control Entry'!K22)</f>
        <v/>
      </c>
      <c r="G26" s="88"/>
      <c r="H26" s="24" t="s">
        <v>29</v>
      </c>
    </row>
    <row r="27" spans="1:22" ht="36" customHeight="1" x14ac:dyDescent="0.2">
      <c r="A27" s="25"/>
      <c r="B27" s="26" t="str">
        <f>Control_9 Open_time</f>
        <v/>
      </c>
      <c r="C27" s="26" t="str">
        <f>Control_9 Close_time</f>
        <v/>
      </c>
      <c r="D27" s="33"/>
      <c r="E27" s="28" t="str">
        <f>IF(ISBLANK(Control_9 Establishment_1),"",Control_9 Establishment_1)</f>
        <v/>
      </c>
      <c r="F27" s="85" t="str">
        <f>IF(ISBLANK('Control Entry'!I23),"",'Control Entry'!I23)</f>
        <v/>
      </c>
      <c r="G27" s="86"/>
      <c r="H27" s="24" t="s">
        <v>29</v>
      </c>
      <c r="K27" s="118" t="s">
        <v>56</v>
      </c>
      <c r="L27" s="111"/>
      <c r="M27" s="45" t="s">
        <v>57</v>
      </c>
      <c r="N27" s="111" t="s">
        <v>49</v>
      </c>
      <c r="O27" s="111"/>
      <c r="P27" s="111" t="s">
        <v>50</v>
      </c>
      <c r="Q27" s="111"/>
      <c r="R27" s="46" t="s">
        <v>51</v>
      </c>
      <c r="S27" s="109" t="s">
        <v>52</v>
      </c>
      <c r="T27" s="109"/>
      <c r="U27" s="109" t="s">
        <v>53</v>
      </c>
      <c r="V27" s="109"/>
    </row>
    <row r="28" spans="1:22" ht="36" customHeight="1" x14ac:dyDescent="0.2">
      <c r="A28" s="34" t="str">
        <f>IF(ISBLANK(Distance Control_9),"",Control_9 Distance)</f>
        <v/>
      </c>
      <c r="B28" s="35" t="str">
        <f>Control_9 Open_time</f>
        <v/>
      </c>
      <c r="C28" s="35" t="str">
        <f>Control_9 Close_time</f>
        <v/>
      </c>
      <c r="D28" s="36" t="str">
        <f>IF(ISBLANK(Locale Control_9),"",Locale Control_9)</f>
        <v/>
      </c>
      <c r="E28" s="28" t="str">
        <f>IF(ISBLANK(Control_9 Establishment_2),"",Control_9 Establishment_2)</f>
        <v/>
      </c>
      <c r="F28" s="85" t="str">
        <f>IF(ISBLANK('Control Entry'!J23),"",'Control Entry'!J23)</f>
        <v/>
      </c>
      <c r="G28" s="86"/>
      <c r="H28" s="24" t="s">
        <v>29</v>
      </c>
    </row>
    <row r="29" spans="1:22" ht="36" customHeight="1" thickBot="1" x14ac:dyDescent="0.25">
      <c r="A29" s="29"/>
      <c r="B29" s="30" t="str">
        <f>Control_9 Open_time</f>
        <v/>
      </c>
      <c r="C29" s="30" t="str">
        <f>Control_9 Close_time</f>
        <v/>
      </c>
      <c r="D29" s="31"/>
      <c r="E29" s="32" t="str">
        <f>IF(ISBLANK(Control_9 Establishment_3),"",Control_9 Establishment_3)</f>
        <v/>
      </c>
      <c r="F29" s="89" t="str">
        <f>IF(ISBLANK('Control Entry'!K23),"",'Control Entry'!K23)</f>
        <v/>
      </c>
      <c r="G29" s="88"/>
      <c r="H29" s="24" t="s">
        <v>29</v>
      </c>
      <c r="M29" s="110" t="s">
        <v>42</v>
      </c>
      <c r="N29" s="110"/>
      <c r="O29" s="110"/>
      <c r="P29" s="110"/>
      <c r="Q29" s="110"/>
      <c r="R29" s="110"/>
      <c r="S29" s="110"/>
      <c r="T29" s="110"/>
      <c r="U29" s="49"/>
    </row>
    <row r="30" spans="1:22" ht="36" customHeight="1" x14ac:dyDescent="0.2">
      <c r="A30" s="25"/>
      <c r="B30" s="26" t="str">
        <f>Control_10 Open_time</f>
        <v/>
      </c>
      <c r="C30" s="26" t="str">
        <f>Control_10 Close_time</f>
        <v/>
      </c>
      <c r="D30" s="33"/>
      <c r="E30" s="28" t="str">
        <f>IF(ISBLANK(Control_10 Establishment_1),"",Control_10 Establishment_1)</f>
        <v/>
      </c>
      <c r="F30" s="85" t="str">
        <f>IF(ISBLANK('Control Entry'!I24),"",'Control Entry'!I24)</f>
        <v/>
      </c>
      <c r="G30" s="86"/>
      <c r="H30" s="24" t="s">
        <v>29</v>
      </c>
      <c r="M30" s="16"/>
      <c r="N30" s="18"/>
      <c r="O30" s="18"/>
      <c r="P30" s="19"/>
      <c r="Q30" s="16"/>
      <c r="R30" s="18"/>
      <c r="S30" s="18"/>
      <c r="T30" s="19"/>
    </row>
    <row r="31" spans="1:22" ht="36" customHeight="1" x14ac:dyDescent="0.2">
      <c r="A31" s="34" t="str">
        <f>IF(ISBLANK(Distance Control_10),"",Control_10 Distance)</f>
        <v/>
      </c>
      <c r="B31" s="35" t="str">
        <f>Control_10 Open_time</f>
        <v/>
      </c>
      <c r="C31" s="35" t="str">
        <f>Control_10 Close_time</f>
        <v/>
      </c>
      <c r="D31" s="36" t="str">
        <f>IF(ISBLANK(Locale Control_10),"",Locale Control_10)</f>
        <v/>
      </c>
      <c r="E31" s="28" t="str">
        <f>IF(ISBLANK(Control_10 Establishment_2),"",Control_10 Establishment_2)</f>
        <v/>
      </c>
      <c r="F31" s="85" t="str">
        <f>IF(ISBLANK('Control Entry'!J24),"",'Control Entry'!J24)</f>
        <v/>
      </c>
      <c r="G31" s="86"/>
      <c r="H31" s="24" t="s">
        <v>29</v>
      </c>
      <c r="M31" s="17"/>
      <c r="P31" s="20"/>
      <c r="Q31" s="17"/>
      <c r="T31" s="20"/>
    </row>
    <row r="32" spans="1:22" ht="36" customHeight="1" thickBot="1" x14ac:dyDescent="0.25">
      <c r="A32" s="29"/>
      <c r="B32" s="30" t="str">
        <f>Control_10 Open_time</f>
        <v/>
      </c>
      <c r="C32" s="30" t="str">
        <f>Control_10 Close_time</f>
        <v/>
      </c>
      <c r="D32" s="31"/>
      <c r="E32" s="32" t="str">
        <f>IF(ISBLANK(Control_10 Establishment_3),"",Control_10 Establishment_3)</f>
        <v/>
      </c>
      <c r="F32" s="89" t="str">
        <f>IF(ISBLANK('Control Entry'!K24),"",'Control Entry'!K24)</f>
        <v/>
      </c>
      <c r="G32" s="88"/>
      <c r="H32" s="24" t="s">
        <v>29</v>
      </c>
      <c r="M32" s="123" t="s">
        <v>82</v>
      </c>
      <c r="N32" s="124"/>
      <c r="O32" s="124"/>
      <c r="P32" s="125"/>
      <c r="Q32" s="126" t="d">
        <f>'Control Entry'!B3</f>
        <v>2022-11-09</v>
      </c>
      <c r="R32" s="127"/>
      <c r="S32" s="127"/>
      <c r="T32" s="128"/>
    </row>
    <row r="33" spans="1:22" ht="36" customHeight="1" x14ac:dyDescent="0.2">
      <c r="A33" s="117" t="s">
        <v>43</v>
      </c>
      <c r="B33" s="117"/>
      <c r="C33" s="117"/>
      <c r="D33" s="117"/>
      <c r="E33" s="117"/>
      <c r="F33" s="117"/>
      <c r="G33" s="117"/>
      <c r="H33" s="37"/>
      <c r="I33" s="37"/>
      <c r="M33" s="112" t="s">
        <v>86</v>
      </c>
      <c r="N33" s="113"/>
      <c r="O33" s="113"/>
      <c r="P33" s="113"/>
      <c r="Q33" s="114" t="d">
        <f>'Control Entry'!B4</f>
        <v>2023-08-14</v>
      </c>
      <c r="R33" s="115"/>
      <c r="S33" s="115"/>
      <c r="T33" s="115"/>
      <c r="V33" s="44"/>
    </row>
    <row r="34" spans="1:22" ht="36" customHeight="1" x14ac:dyDescent="0.2">
      <c r="A34" s="108" t="s">
        <v>122</v>
      </c>
      <c r="B34" s="108"/>
      <c r="C34" s="108"/>
      <c r="D34" s="108"/>
      <c r="E34" s="108"/>
      <c r="F34" s="108"/>
      <c r="G34" s="108"/>
      <c r="O34" s="15"/>
      <c r="P34" s="15"/>
      <c r="Q34" s="15"/>
      <c r="R34" s="42"/>
    </row>
    <row r="35" spans="1:22" ht="36" customHeight="1" x14ac:dyDescent="0.2">
      <c r="A35"/>
      <c r="N35" s="110"/>
      <c r="O35" s="110"/>
      <c r="P35" s="110"/>
      <c r="Q35" s="110"/>
      <c r="R35" s="110"/>
      <c r="S35" s="110"/>
      <c r="T35" s="110"/>
      <c r="U35" s="110"/>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formatCells="0" selectLockedCells="1"/>
  <mergeCells count="42">
    <mergeCell ref="N5:O5"/>
    <mergeCell ref="K27:L27"/>
    <mergeCell ref="J25:N25"/>
    <mergeCell ref="O3:R3"/>
    <mergeCell ref="S20:U20"/>
    <mergeCell ref="L15:U15"/>
    <mergeCell ref="L6:U6"/>
    <mergeCell ref="S24:U24"/>
    <mergeCell ref="J24:N24"/>
    <mergeCell ref="L9:U9"/>
    <mergeCell ref="L10:U10"/>
    <mergeCell ref="L16:U16"/>
    <mergeCell ref="L22:N22"/>
    <mergeCell ref="S22:U22"/>
    <mergeCell ref="L13:N13"/>
    <mergeCell ref="S11:U11"/>
    <mergeCell ref="A1:G1"/>
    <mergeCell ref="A33:G33"/>
    <mergeCell ref="M4:T4"/>
    <mergeCell ref="P25:Q25"/>
    <mergeCell ref="S25:T25"/>
    <mergeCell ref="S12:U12"/>
    <mergeCell ref="R13:U13"/>
    <mergeCell ref="R5:U5"/>
    <mergeCell ref="K2:U2"/>
    <mergeCell ref="L8:Q8"/>
    <mergeCell ref="M32:P32"/>
    <mergeCell ref="Q32:T32"/>
    <mergeCell ref="T8:U8"/>
    <mergeCell ref="L20:N20"/>
    <mergeCell ref="L11:N11"/>
    <mergeCell ref="L12:N12"/>
    <mergeCell ref="A34:G34"/>
    <mergeCell ref="U25:V25"/>
    <mergeCell ref="N35:U35"/>
    <mergeCell ref="M29:T29"/>
    <mergeCell ref="N27:O27"/>
    <mergeCell ref="P27:Q27"/>
    <mergeCell ref="S27:T27"/>
    <mergeCell ref="U27:V27"/>
    <mergeCell ref="M33:P33"/>
    <mergeCell ref="Q33:T33"/>
  </mergeCells>
  <phoneticPr fontId="16" type="noConversion"/>
  <pageMargins left="0.2" right="0.2" top="0.2" bottom="0.2" header="0.51" footer="0.51"/>
  <pageSetup scale="45" orientation="landscape" horizontalDpi="4294967292" verticalDpi="4294967292"/>
  <ignoredErrors>
    <ignoredError sqref="L20" unlockedFormula="1"/>
  </ignoredErrors>
  <drawing r:id="rId1"/>
  <extLst>
    <ext xmlns="http://schemas.openxmlformats.org/spreadsheetml/2006/main" xmlns:mx="http://schemas.microsoft.com/office/mac/excel/2008/main" uri="{64002731-A6B0-56B0-2670-7721B7C09600}">
      <mx:PLV Mode="0" OnePage="0" WScale="100"/>
    </ext>
  </extLst>
</worksheet>
</file>

<file path=xl/worksheets/sheet3.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0"/>
  <sheetViews>
    <sheetView showGridLines="0"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6" t="s">
        <v>74</v>
      </c>
      <c r="B1" s="116"/>
      <c r="C1" s="116"/>
      <c r="D1" s="116"/>
      <c r="E1" s="116"/>
      <c r="F1" s="116"/>
      <c r="G1" s="116"/>
      <c r="H1" s="24" t="s">
        <v>29</v>
      </c>
    </row>
    <row r="2" spans="1:22" ht="33.75" customHeight="1" thickBot="1" x14ac:dyDescent="0.25">
      <c r="A2" s="65" t="s">
        <v>30</v>
      </c>
      <c r="B2" s="9" t="s">
        <v>3</v>
      </c>
      <c r="C2" s="9" t="s">
        <v>4</v>
      </c>
      <c r="D2" s="9" t="s">
        <v>25</v>
      </c>
      <c r="E2" s="9" t="s">
        <v>31</v>
      </c>
      <c r="F2" s="9" t="s">
        <v>59</v>
      </c>
      <c r="G2" s="65" t="s">
        <v>32</v>
      </c>
      <c r="H2" s="24" t="s">
        <v>29</v>
      </c>
      <c r="K2" s="115" t="s">
        <v>55</v>
      </c>
      <c r="L2" s="115"/>
      <c r="M2" s="115"/>
      <c r="N2" s="115"/>
      <c r="O2" s="115"/>
      <c r="P2" s="115"/>
      <c r="Q2" s="115"/>
      <c r="R2" s="115"/>
      <c r="S2" s="115"/>
      <c r="T2" s="115"/>
      <c r="U2" s="115"/>
    </row>
    <row r="3" spans="1:22" ht="36" customHeight="1" x14ac:dyDescent="0.45">
      <c r="A3" s="25"/>
      <c r="B3" s="26" t="str">
        <f>'Control Entry'!N28</f>
        <v/>
      </c>
      <c r="C3" s="26" t="str">
        <f>'Control Entry'!O28</f>
        <v/>
      </c>
      <c r="D3" s="27"/>
      <c r="E3" s="28" t="str">
        <f>IF(ISBLANK('Control Entry'!F28),"",'Control Entry'!F28)</f>
        <v/>
      </c>
      <c r="F3" s="85" t="str">
        <f>IF(ISBLANK('Control Entry'!I28),"",'Control Entry'!I28)</f>
        <v/>
      </c>
      <c r="G3" s="86"/>
      <c r="H3" s="24" t="s">
        <v>29</v>
      </c>
      <c r="K3" s="14"/>
      <c r="O3" s="133" t="s">
        <v>73</v>
      </c>
      <c r="P3" s="133"/>
      <c r="Q3" s="133"/>
      <c r="R3" s="133"/>
      <c r="S3" s="75" t="str">
        <f>IF('Control Entry'!D28=0,"","#2")</f>
        <v/>
      </c>
      <c r="U3" s="38"/>
    </row>
    <row r="4" spans="1:22" ht="36" customHeight="1" x14ac:dyDescent="0.2">
      <c r="A4" s="34" t="str">
        <f>IF(ISBLANK('Control Entry'!D28),"",'Control Entry'!D28)</f>
        <v/>
      </c>
      <c r="B4" s="35" t="str">
        <f>'Control Entry'!N28</f>
        <v/>
      </c>
      <c r="C4" s="35" t="str">
        <f>'Control Entry'!O28</f>
        <v/>
      </c>
      <c r="D4" s="36" t="str">
        <f>IF(ISBLANK('Control Entry'!E28),"",'Control Entry'!E28)</f>
        <v/>
      </c>
      <c r="E4" s="28" t="str">
        <f>IF(ISBLANK('Control Entry'!G28),"",'Control Entry'!G28)</f>
        <v/>
      </c>
      <c r="F4" s="85" t="str">
        <f>IF(ISBLANK('Control Entry'!J28),"",'Control Entry'!J28)</f>
        <v/>
      </c>
      <c r="G4" s="86"/>
      <c r="H4" s="24" t="s">
        <v>29</v>
      </c>
      <c r="K4" s="14"/>
      <c r="M4" s="118" t="str">
        <f>IF(ISBLANK(brevet),"",brevet&amp;" km Randonnée")</f>
        <v>200 km Randonnée</v>
      </c>
      <c r="N4" s="118"/>
      <c r="O4" s="118"/>
      <c r="P4" s="118"/>
      <c r="Q4" s="118"/>
      <c r="R4" s="118"/>
      <c r="S4" s="118"/>
      <c r="T4" s="118"/>
      <c r="U4" s="39"/>
    </row>
    <row r="5" spans="1:22" ht="36" customHeight="1" thickBot="1" x14ac:dyDescent="0.25">
      <c r="A5" s="29"/>
      <c r="B5" s="30" t="str">
        <f>'Control Entry'!N28</f>
        <v/>
      </c>
      <c r="C5" s="30" t="str">
        <f>'Control Entry'!O28</f>
        <v/>
      </c>
      <c r="D5" s="31"/>
      <c r="E5" s="32" t="str">
        <f>IF(ISBLANK('Control Entry'!H28),"",'Control Entry'!H28)</f>
        <v/>
      </c>
      <c r="F5" s="89" t="str">
        <f>IF(ISBLANK('Control Entry'!K28),"",'Control Entry'!K28)</f>
        <v/>
      </c>
      <c r="G5" s="88"/>
      <c r="H5" s="24" t="s">
        <v>29</v>
      </c>
      <c r="K5" s="14"/>
      <c r="M5" s="15"/>
      <c r="N5" s="109" t="s">
        <v>47</v>
      </c>
      <c r="O5" s="109"/>
      <c r="P5" s="52">
        <f>IF(ISBLANK(Brevet_Number),"",Brevet_Number)</f>
        <v>5276</v>
      </c>
      <c r="Q5" s="53"/>
      <c r="R5" s="121" t="d">
        <f>IF(ISBLANK('Control Entry'!$B10),"",'Control Entry'!$B10)</f>
        <v>2023-08-19</v>
      </c>
      <c r="S5" s="121"/>
      <c r="T5" s="121"/>
      <c r="U5" s="121"/>
      <c r="V5" s="40"/>
    </row>
    <row r="6" spans="1:22" ht="36" customHeight="1" x14ac:dyDescent="0.2">
      <c r="A6" s="25"/>
      <c r="B6" s="26" t="str">
        <f>'Control Entry'!N29</f>
        <v/>
      </c>
      <c r="C6" s="26" t="str">
        <f>'Control Entry'!O29</f>
        <v/>
      </c>
      <c r="D6" s="33"/>
      <c r="E6" s="28" t="str">
        <f>IF(ISBLANK('Control Entry'!F29),"",'Control Entry'!F29)</f>
        <v/>
      </c>
      <c r="F6" s="85" t="str">
        <f>IF(ISBLANK('Control Entry'!I29),"",'Control Entry'!I29)</f>
        <v/>
      </c>
      <c r="G6" s="86"/>
      <c r="H6" s="24" t="s">
        <v>29</v>
      </c>
      <c r="K6" s="14"/>
      <c r="L6" s="136" t="str">
        <f>IF(ISBLANK(Brevet_Description),"",Brevet_Description)</f>
        <v>Coombs Cumberland Explorer</v>
      </c>
      <c r="M6" s="136"/>
      <c r="N6" s="136"/>
      <c r="O6" s="136"/>
      <c r="P6" s="136"/>
      <c r="Q6" s="136"/>
      <c r="R6" s="136"/>
      <c r="S6" s="136"/>
      <c r="T6" s="136"/>
      <c r="U6" s="136"/>
    </row>
    <row r="7" spans="1:22" ht="36" customHeight="1" x14ac:dyDescent="0.2">
      <c r="A7" s="34" t="str">
        <f>IF(ISBLANK('Control Entry'!D29),"",'Control Entry'!D29)</f>
        <v/>
      </c>
      <c r="B7" s="35" t="str">
        <f>'Control Entry'!N29</f>
        <v/>
      </c>
      <c r="C7" s="35" t="str">
        <f>'Control Entry'!O29</f>
        <v/>
      </c>
      <c r="D7" s="36" t="str">
        <f>IF(ISBLANK('Control Entry'!E29),"",'Control Entry'!E29)</f>
        <v/>
      </c>
      <c r="E7" s="28" t="str">
        <f>IF(ISBLANK('Control Entry'!G29),"",'Control Entry'!G29)</f>
        <v/>
      </c>
      <c r="F7" s="85" t="str">
        <f>IF(ISBLANK('Control Entry'!J29),"",'Control Entry'!J29)</f>
        <v/>
      </c>
      <c r="G7" s="86"/>
      <c r="H7" s="24" t="s">
        <v>29</v>
      </c>
    </row>
    <row r="8" spans="1:22" ht="36" customHeight="1" thickBot="1" x14ac:dyDescent="0.25">
      <c r="A8" s="29"/>
      <c r="B8" s="30" t="str">
        <f>'Control Entry'!N29</f>
        <v/>
      </c>
      <c r="C8" s="30" t="str">
        <f>'Control Entry'!O29</f>
        <v/>
      </c>
      <c r="D8" s="31"/>
      <c r="E8" s="32" t="str">
        <f>IF(ISBLANK('Control Entry'!H29),"",'Control Entry'!H29)</f>
        <v/>
      </c>
      <c r="F8" s="89" t="str">
        <f>IF(ISBLANK('Control Entry'!K29),"",'Control Entry'!K29)</f>
        <v/>
      </c>
      <c r="G8" s="88"/>
      <c r="H8" s="24" t="s">
        <v>29</v>
      </c>
      <c r="J8" s="15" t="s">
        <v>34</v>
      </c>
      <c r="L8" s="122"/>
      <c r="M8" s="122"/>
      <c r="N8" s="122"/>
      <c r="O8" s="122"/>
      <c r="P8" s="122"/>
      <c r="Q8" s="122"/>
      <c r="S8" s="41" t="s">
        <v>46</v>
      </c>
      <c r="T8" s="129"/>
      <c r="U8" s="129"/>
    </row>
    <row r="9" spans="1:22" ht="36" customHeight="1" thickBot="1" x14ac:dyDescent="0.3">
      <c r="A9" s="25"/>
      <c r="B9" s="26" t="str">
        <f>'Control Entry'!N30</f>
        <v/>
      </c>
      <c r="C9" s="26" t="str">
        <f>'Control Entry'!O30</f>
        <v/>
      </c>
      <c r="D9" s="33"/>
      <c r="E9" s="28" t="str">
        <f>IF(ISBLANK('Control Entry'!F30),"",'Control Entry'!F30)</f>
        <v/>
      </c>
      <c r="F9" s="85" t="str">
        <f>IF(ISBLANK('Control Entry'!I30),"",'Control Entry'!I30)</f>
        <v/>
      </c>
      <c r="G9" s="86"/>
      <c r="H9" s="24" t="s">
        <v>29</v>
      </c>
      <c r="J9" s="15" t="s">
        <v>35</v>
      </c>
      <c r="K9" s="15"/>
      <c r="L9" s="138" t="s">
        <v>54</v>
      </c>
      <c r="M9" s="138"/>
      <c r="N9" s="138"/>
      <c r="O9" s="138"/>
      <c r="P9" s="138"/>
      <c r="Q9" s="138"/>
      <c r="R9" s="138"/>
      <c r="S9" s="138"/>
      <c r="T9" s="138"/>
      <c r="U9" s="138"/>
    </row>
    <row r="10" spans="1:22" ht="36" customHeight="1" thickBot="1" x14ac:dyDescent="0.3">
      <c r="A10" s="34" t="str">
        <f>IF(ISBLANK('Control Entry'!D30),"",'Control Entry'!D30)</f>
        <v/>
      </c>
      <c r="B10" s="35" t="str">
        <f>'Control Entry'!N30</f>
        <v/>
      </c>
      <c r="C10" s="35" t="str">
        <f>'Control Entry'!O30</f>
        <v/>
      </c>
      <c r="D10" s="36" t="str">
        <f>IF(ISBLANK('Control Entry'!E30),"",'Control Entry'!E30)</f>
        <v/>
      </c>
      <c r="E10" s="28" t="str">
        <f>IF(ISBLANK('Control Entry'!G30),"",'Control Entry'!G30)</f>
        <v/>
      </c>
      <c r="F10" s="85" t="str">
        <f>IF(ISBLANK('Control Entry'!J30),"",'Control Entry'!J30)</f>
        <v/>
      </c>
      <c r="G10" s="86"/>
      <c r="H10" s="24" t="s">
        <v>29</v>
      </c>
      <c r="J10" s="15"/>
      <c r="K10" s="15"/>
      <c r="L10" s="131"/>
      <c r="M10" s="131"/>
      <c r="N10" s="131"/>
      <c r="O10" s="131"/>
      <c r="P10" s="131"/>
      <c r="Q10" s="131"/>
      <c r="R10" s="131"/>
      <c r="S10" s="131"/>
      <c r="T10" s="131"/>
      <c r="U10" s="131"/>
    </row>
    <row r="11" spans="1:22" ht="36" customHeight="1" thickBot="1" x14ac:dyDescent="0.3">
      <c r="A11" s="29"/>
      <c r="B11" s="30" t="str">
        <f>'Control Entry'!N30</f>
        <v/>
      </c>
      <c r="C11" s="30" t="str">
        <f>'Control Entry'!O30</f>
        <v/>
      </c>
      <c r="D11" s="31"/>
      <c r="E11" s="32" t="str">
        <f>IF(ISBLANK('Control Entry'!H30),"",'Control Entry'!H30)</f>
        <v/>
      </c>
      <c r="F11" s="89" t="str">
        <f>IF(ISBLANK('Control Entry'!K30),"",'Control Entry'!K30)</f>
        <v/>
      </c>
      <c r="G11" s="88"/>
      <c r="H11" s="24" t="s">
        <v>29</v>
      </c>
      <c r="J11" s="15" t="s">
        <v>36</v>
      </c>
      <c r="K11" s="15"/>
      <c r="L11" s="131"/>
      <c r="M11" s="131"/>
      <c r="N11" s="131"/>
      <c r="O11" s="15"/>
      <c r="P11" s="15" t="s">
        <v>37</v>
      </c>
      <c r="Q11" s="15"/>
      <c r="R11" s="15"/>
      <c r="S11" s="119"/>
      <c r="T11" s="119"/>
      <c r="U11" s="119"/>
    </row>
    <row r="12" spans="1:22" ht="36" customHeight="1" thickBot="1" x14ac:dyDescent="0.3">
      <c r="A12" s="25"/>
      <c r="B12" s="26" t="str">
        <f>'Control Entry'!N31</f>
        <v/>
      </c>
      <c r="C12" s="26" t="str">
        <f>'Control Entry'!O31</f>
        <v/>
      </c>
      <c r="D12" s="33"/>
      <c r="E12" s="28" t="str">
        <f>IF(ISBLANK('Control Entry'!F31),"",'Control Entry'!F31)</f>
        <v/>
      </c>
      <c r="F12" s="85" t="str">
        <f>IF(ISBLANK('Control Entry'!I31),"",'Control Entry'!I31)</f>
        <v/>
      </c>
      <c r="G12" s="86"/>
      <c r="H12" s="24" t="s">
        <v>29</v>
      </c>
      <c r="J12" s="15" t="s">
        <v>38</v>
      </c>
      <c r="K12" s="15"/>
      <c r="L12" s="131"/>
      <c r="M12" s="131"/>
      <c r="N12" s="131"/>
      <c r="O12" s="15"/>
      <c r="P12" s="15" t="s">
        <v>39</v>
      </c>
      <c r="Q12" s="15"/>
      <c r="R12" s="15"/>
      <c r="S12" s="119"/>
      <c r="T12" s="119"/>
      <c r="U12" s="119"/>
    </row>
    <row r="13" spans="1:22" ht="36" customHeight="1" thickBot="1" x14ac:dyDescent="0.3">
      <c r="A13" s="34" t="str">
        <f>IF(ISBLANK('Control Entry'!D31),"",'Control Entry'!D31)</f>
        <v/>
      </c>
      <c r="B13" s="35" t="str">
        <f>'Control Entry'!N31</f>
        <v/>
      </c>
      <c r="C13" s="35" t="str">
        <f>'Control Entry'!O31</f>
        <v/>
      </c>
      <c r="D13" s="36" t="str">
        <f>IF(ISBLANK('Control Entry'!E31),"",'Control Entry'!E31)</f>
        <v/>
      </c>
      <c r="E13" s="28" t="str">
        <f>IF(ISBLANK('Control Entry'!G31),"",'Control Entry'!G31)</f>
        <v/>
      </c>
      <c r="F13" s="85" t="str">
        <f>IF(ISBLANK('Control Entry'!J31),"",'Control Entry'!J31)</f>
        <v/>
      </c>
      <c r="G13" s="86"/>
      <c r="H13" s="24" t="s">
        <v>29</v>
      </c>
      <c r="J13" s="15" t="s">
        <v>40</v>
      </c>
      <c r="L13" s="141"/>
      <c r="M13" s="141"/>
      <c r="N13" s="141"/>
      <c r="P13" s="15" t="s">
        <v>41</v>
      </c>
      <c r="Q13" s="15"/>
      <c r="R13" s="120"/>
      <c r="S13" s="120"/>
      <c r="T13" s="120"/>
      <c r="U13" s="120"/>
    </row>
    <row r="14" spans="1:22" ht="36" customHeight="1" thickBot="1" x14ac:dyDescent="0.25">
      <c r="A14" s="29"/>
      <c r="B14" s="30" t="str">
        <f>'Control Entry'!N31</f>
        <v/>
      </c>
      <c r="C14" s="30" t="str">
        <f>'Control Entry'!O31</f>
        <v/>
      </c>
      <c r="D14" s="31"/>
      <c r="E14" s="32" t="str">
        <f>IF(ISBLANK('Control Entry'!H31),"",'Control Entry'!H31)</f>
        <v/>
      </c>
      <c r="F14" s="89" t="str">
        <f>IF(ISBLANK('Control Entry'!K31),"",'Control Entry'!K31)</f>
        <v/>
      </c>
      <c r="G14" s="88"/>
      <c r="H14" s="24" t="s">
        <v>29</v>
      </c>
    </row>
    <row r="15" spans="1:22" ht="36" customHeight="1" x14ac:dyDescent="0.2">
      <c r="A15" s="25"/>
      <c r="B15" s="26" t="str">
        <f>'Control Entry'!N32</f>
        <v/>
      </c>
      <c r="C15" s="26" t="str">
        <f>'Control Entry'!O32</f>
        <v/>
      </c>
      <c r="D15" s="33"/>
      <c r="E15" s="28" t="str">
        <f>IF(ISBLANK('Control Entry'!F32),"",'Control Entry'!F32)</f>
        <v/>
      </c>
      <c r="F15" s="85" t="str">
        <f>IF(ISBLANK('Control Entry'!I32),"",'Control Entry'!I32)</f>
        <v/>
      </c>
      <c r="G15" s="86"/>
      <c r="H15" s="24" t="s">
        <v>29</v>
      </c>
      <c r="J15" s="15"/>
      <c r="L15" s="135" t="s">
        <v>58</v>
      </c>
      <c r="M15" s="135"/>
      <c r="N15" s="135"/>
      <c r="O15" s="135"/>
      <c r="P15" s="135"/>
      <c r="Q15" s="135"/>
      <c r="R15" s="135"/>
      <c r="S15" s="135"/>
      <c r="T15" s="135"/>
      <c r="U15" s="135"/>
    </row>
    <row r="16" spans="1:22" ht="36" customHeight="1" thickBot="1" x14ac:dyDescent="0.25">
      <c r="A16" s="34" t="str">
        <f>IF(ISBLANK('Control Entry'!D32),"",'Control Entry'!D32)</f>
        <v/>
      </c>
      <c r="B16" s="35" t="str">
        <f>'Control Entry'!N32</f>
        <v/>
      </c>
      <c r="C16" s="35" t="str">
        <f>'Control Entry'!O32</f>
        <v/>
      </c>
      <c r="D16" s="36" t="str">
        <f>IF(ISBLANK('Control Entry'!E32),"",'Control Entry'!E32)</f>
        <v/>
      </c>
      <c r="E16" s="28" t="str">
        <f>IF(ISBLANK('Control Entry'!G32),"",'Control Entry'!G32)</f>
        <v/>
      </c>
      <c r="F16" s="85" t="str">
        <f>IF(ISBLANK('Control Entry'!J32),"",'Control Entry'!J32)</f>
        <v/>
      </c>
      <c r="G16" s="86"/>
      <c r="H16" s="24" t="s">
        <v>29</v>
      </c>
      <c r="L16" s="139"/>
      <c r="M16" s="139"/>
      <c r="N16" s="139"/>
      <c r="O16" s="139"/>
      <c r="P16" s="139"/>
      <c r="Q16" s="139"/>
      <c r="R16" s="139"/>
      <c r="S16" s="139"/>
      <c r="T16" s="139"/>
      <c r="U16" s="139"/>
    </row>
    <row r="17" spans="1:22" ht="36" customHeight="1" thickBot="1" x14ac:dyDescent="0.25">
      <c r="A17" s="29"/>
      <c r="B17" s="30" t="str">
        <f>'Control Entry'!N32</f>
        <v/>
      </c>
      <c r="C17" s="30" t="str">
        <f>'Control Entry'!O32</f>
        <v/>
      </c>
      <c r="D17" s="31"/>
      <c r="E17" s="32" t="str">
        <f>IF(ISBLANK('Control Entry'!H32),"",'Control Entry'!H32)</f>
        <v/>
      </c>
      <c r="F17" s="89" t="str">
        <f>IF(ISBLANK('Control Entry'!K32),"",'Control Entry'!K32)</f>
        <v/>
      </c>
      <c r="G17" s="88"/>
      <c r="H17" s="24" t="s">
        <v>29</v>
      </c>
    </row>
    <row r="18" spans="1:22" ht="36" customHeight="1" x14ac:dyDescent="0.2">
      <c r="A18" s="25"/>
      <c r="B18" s="26" t="str">
        <f>'Control Entry'!N33</f>
        <v/>
      </c>
      <c r="C18" s="26" t="str">
        <f>'Control Entry'!O33</f>
        <v/>
      </c>
      <c r="D18" s="33"/>
      <c r="E18" s="28" t="str">
        <f>IF(ISBLANK('Control Entry'!F33),"",'Control Entry'!F33)</f>
        <v/>
      </c>
      <c r="F18" s="85" t="str">
        <f>IF(ISBLANK('Control Entry'!I33),"",'Control Entry'!I33)</f>
        <v/>
      </c>
      <c r="G18" s="86"/>
      <c r="H18" s="24" t="s">
        <v>29</v>
      </c>
    </row>
    <row r="19" spans="1:22" ht="36" customHeight="1" x14ac:dyDescent="0.2">
      <c r="A19" s="34" t="str">
        <f>IF(ISBLANK('Control Entry'!D33),"",'Control Entry'!D33)</f>
        <v/>
      </c>
      <c r="B19" s="35" t="str">
        <f>'Control Entry'!N33</f>
        <v/>
      </c>
      <c r="C19" s="35" t="str">
        <f>'Control Entry'!O33</f>
        <v/>
      </c>
      <c r="D19" s="36" t="str">
        <f>IF(ISBLANK('Control Entry'!E33),"",'Control Entry'!E33)</f>
        <v/>
      </c>
      <c r="E19" s="28" t="str">
        <f>IF(ISBLANK('Control Entry'!G33),"",'Control Entry'!G33)</f>
        <v/>
      </c>
      <c r="F19" s="85" t="str">
        <f>IF(ISBLANK('Control Entry'!J33),"",'Control Entry'!J33)</f>
        <v/>
      </c>
      <c r="G19" s="86"/>
      <c r="H19" s="24" t="s">
        <v>29</v>
      </c>
    </row>
    <row r="20" spans="1:22" ht="36" customHeight="1" thickBot="1" x14ac:dyDescent="0.25">
      <c r="A20" s="29"/>
      <c r="B20" s="30" t="str">
        <f>'Control Entry'!N33</f>
        <v/>
      </c>
      <c r="C20" s="30" t="str">
        <f>'Control Entry'!O33</f>
        <v/>
      </c>
      <c r="D20" s="31"/>
      <c r="E20" s="32" t="str">
        <f>IF(ISBLANK('Control Entry'!H33),"",'Control Entry'!H33)</f>
        <v/>
      </c>
      <c r="F20" s="89" t="str">
        <f>IF(ISBLANK('Control Entry'!K33),"",'Control Entry'!K33)</f>
        <v/>
      </c>
      <c r="G20" s="88"/>
      <c r="H20" s="24" t="s">
        <v>29</v>
      </c>
      <c r="J20" s="50" t="s">
        <v>44</v>
      </c>
      <c r="K20" s="50"/>
      <c r="L20" s="142" t="d">
        <f>IF(ISBLANK('Control Entry'!B12),"",'Control Entry'!B12)</f>
        <v>2023-08-19</v>
      </c>
      <c r="M20" s="142"/>
      <c r="N20" s="142"/>
      <c r="P20" s="15" t="s">
        <v>0</v>
      </c>
      <c r="Q20" s="15"/>
      <c r="S20" s="134" t="d">
        <f>IF(ISBLANK('Control Entry'!B13),"",'Control Entry'!B13)</f>
        <v>07:00:00.0000000000015975</v>
      </c>
      <c r="T20" s="134"/>
      <c r="U20" s="134"/>
    </row>
    <row r="21" spans="1:22" ht="36" customHeight="1" x14ac:dyDescent="0.2">
      <c r="A21" s="25"/>
      <c r="B21" s="26" t="str">
        <f>'Control Entry'!N34</f>
        <v/>
      </c>
      <c r="C21" s="26" t="str">
        <f>'Control Entry'!O34</f>
        <v/>
      </c>
      <c r="D21" s="33"/>
      <c r="E21" s="28" t="str">
        <f>IF(ISBLANK('Control Entry'!F34),"",'Control Entry'!F34)</f>
        <v/>
      </c>
      <c r="F21" s="85" t="str">
        <f>IF(ISBLANK('Control Entry'!I34),"",'Control Entry'!I34)</f>
        <v/>
      </c>
      <c r="G21" s="86"/>
      <c r="H21" s="24" t="s">
        <v>29</v>
      </c>
      <c r="J21" s="136" t="s">
        <v>90</v>
      </c>
      <c r="K21" s="136"/>
      <c r="L21" s="136"/>
      <c r="M21" s="136"/>
      <c r="N21" s="136"/>
      <c r="O21" s="136"/>
      <c r="P21" s="136"/>
      <c r="Q21" s="136"/>
      <c r="R21" s="136"/>
      <c r="S21" s="136"/>
      <c r="T21" s="136"/>
      <c r="U21" s="136"/>
    </row>
    <row r="22" spans="1:22" ht="36" customHeight="1" thickBot="1" x14ac:dyDescent="0.25">
      <c r="A22" s="34" t="str">
        <f>IF(ISBLANK('Control Entry'!D34),"",'Control Entry'!D34)</f>
        <v/>
      </c>
      <c r="B22" s="35" t="str">
        <f>'Control Entry'!N34</f>
        <v/>
      </c>
      <c r="C22" s="35" t="str">
        <f>'Control Entry'!O34</f>
        <v/>
      </c>
      <c r="D22" s="36" t="str">
        <f>IF(ISBLANK('Control Entry'!E34),"",'Control Entry'!E34)</f>
        <v/>
      </c>
      <c r="E22" s="28" t="str">
        <f>IF(ISBLANK('Control Entry'!G34),"",'Control Entry'!G34)</f>
        <v/>
      </c>
      <c r="F22" s="85" t="str">
        <f>IF(ISBLANK('Control Entry'!J34),"",'Control Entry'!J34)</f>
        <v/>
      </c>
      <c r="G22" s="86"/>
      <c r="H22" s="24" t="s">
        <v>29</v>
      </c>
      <c r="J22" s="50" t="s">
        <v>45</v>
      </c>
      <c r="K22" s="50"/>
      <c r="L22" s="140"/>
      <c r="M22" s="140"/>
      <c r="N22" s="140"/>
      <c r="P22" s="15" t="s">
        <v>1</v>
      </c>
      <c r="Q22" s="15"/>
      <c r="S22" s="137"/>
      <c r="T22" s="137"/>
      <c r="U22" s="137"/>
    </row>
    <row r="23" spans="1:22" ht="36" customHeight="1" thickBot="1" x14ac:dyDescent="0.25">
      <c r="A23" s="29"/>
      <c r="B23" s="30" t="str">
        <f>'Control Entry'!N34</f>
        <v/>
      </c>
      <c r="C23" s="30" t="str">
        <f>'Control Entry'!O34</f>
        <v/>
      </c>
      <c r="D23" s="31"/>
      <c r="E23" s="32" t="str">
        <f>IF(ISBLANK('Control Entry'!H34),"",'Control Entry'!H34)</f>
        <v/>
      </c>
      <c r="F23" s="89" t="str">
        <f>IF(ISBLANK('Control Entry'!K34),"",'Control Entry'!K34)</f>
        <v/>
      </c>
      <c r="G23" s="88"/>
      <c r="H23" s="24" t="s">
        <v>29</v>
      </c>
      <c r="J23" s="50"/>
      <c r="K23" s="50"/>
      <c r="L23" s="44"/>
      <c r="M23" s="44"/>
      <c r="N23" s="44"/>
      <c r="P23" s="15"/>
      <c r="Q23" s="15"/>
    </row>
    <row r="24" spans="1:22" ht="36" customHeight="1" thickBot="1" x14ac:dyDescent="0.25">
      <c r="A24" s="25"/>
      <c r="B24" s="26" t="str">
        <f>'Control Entry'!N35</f>
        <v/>
      </c>
      <c r="C24" s="26" t="str">
        <f>'Control Entry'!O35</f>
        <v/>
      </c>
      <c r="D24" s="33"/>
      <c r="E24" s="28" t="str">
        <f>IF(ISBLANK('Control Entry'!F35),"",'Control Entry'!F35)</f>
        <v/>
      </c>
      <c r="F24" s="85" t="str">
        <f>IF(ISBLANK('Control Entry'!I35),"",'Control Entry'!I35)</f>
        <v/>
      </c>
      <c r="G24" s="86"/>
      <c r="H24" s="24" t="s">
        <v>29</v>
      </c>
      <c r="J24" s="137"/>
      <c r="K24" s="137"/>
      <c r="L24" s="137"/>
      <c r="M24" s="137"/>
      <c r="N24" s="137"/>
      <c r="P24" s="15" t="s">
        <v>2</v>
      </c>
      <c r="Q24" s="15"/>
      <c r="S24" s="137"/>
      <c r="T24" s="137"/>
      <c r="U24" s="137"/>
    </row>
    <row r="25" spans="1:22" ht="36" customHeight="1" x14ac:dyDescent="0.2">
      <c r="A25" s="34" t="str">
        <f>IF(ISBLANK('Control Entry'!D35),"",'Control Entry'!D35)</f>
        <v/>
      </c>
      <c r="B25" s="35" t="str">
        <f>'Control Entry'!N35</f>
        <v/>
      </c>
      <c r="C25" s="35" t="str">
        <f>'Control Entry'!O35</f>
        <v/>
      </c>
      <c r="D25" s="36" t="str">
        <f>IF(ISBLANK('Control Entry'!E35),"",'Control Entry'!E35)</f>
        <v/>
      </c>
      <c r="E25" s="28" t="str">
        <f>IF(ISBLANK('Control Entry'!G35),"",'Control Entry'!G35)</f>
        <v/>
      </c>
      <c r="F25" s="85" t="str">
        <f>IF(ISBLANK('Control Entry'!J35),"",'Control Entry'!J35)</f>
        <v/>
      </c>
      <c r="G25" s="86"/>
      <c r="H25" s="24" t="s">
        <v>29</v>
      </c>
      <c r="J25" s="132" t="s">
        <v>17</v>
      </c>
      <c r="K25" s="132"/>
      <c r="L25" s="132"/>
      <c r="M25" s="132"/>
      <c r="N25" s="132"/>
      <c r="O25" s="46"/>
      <c r="P25" s="111"/>
      <c r="Q25" s="111"/>
      <c r="R25" s="46"/>
      <c r="S25" s="109"/>
      <c r="T25" s="109"/>
      <c r="U25" s="109"/>
      <c r="V25" s="109"/>
    </row>
    <row r="26" spans="1:22" ht="36" customHeight="1" thickBot="1" x14ac:dyDescent="0.25">
      <c r="A26" s="29"/>
      <c r="B26" s="30" t="str">
        <f>'Control Entry'!N35</f>
        <v/>
      </c>
      <c r="C26" s="30" t="str">
        <f>'Control Entry'!O35</f>
        <v/>
      </c>
      <c r="D26" s="31"/>
      <c r="E26" s="32" t="str">
        <f>IF(ISBLANK('Control Entry'!H35),"",'Control Entry'!H35)</f>
        <v/>
      </c>
      <c r="F26" s="89" t="str">
        <f>IF(ISBLANK('Control Entry'!K35),"",'Control Entry'!K35)</f>
        <v/>
      </c>
      <c r="G26" s="88"/>
      <c r="H26" s="24" t="s">
        <v>29</v>
      </c>
    </row>
    <row r="27" spans="1:22" ht="36" customHeight="1" x14ac:dyDescent="0.2">
      <c r="A27" s="25"/>
      <c r="B27" s="26" t="str">
        <f>'Control Entry'!N36</f>
        <v/>
      </c>
      <c r="C27" s="26" t="str">
        <f>'Control Entry'!O36</f>
        <v/>
      </c>
      <c r="D27" s="33"/>
      <c r="E27" s="28" t="str">
        <f>IF(ISBLANK('Control Entry'!F36),"",'Control Entry'!F36)</f>
        <v/>
      </c>
      <c r="F27" s="85" t="str">
        <f>IF(ISBLANK('Control Entry'!I36),"",'Control Entry'!I36)</f>
        <v/>
      </c>
      <c r="G27" s="86"/>
      <c r="H27" s="24" t="s">
        <v>29</v>
      </c>
      <c r="K27" s="118" t="s">
        <v>56</v>
      </c>
      <c r="L27" s="111"/>
      <c r="M27" s="45" t="s">
        <v>57</v>
      </c>
      <c r="N27" s="111" t="s">
        <v>49</v>
      </c>
      <c r="O27" s="111"/>
      <c r="P27" s="111" t="s">
        <v>50</v>
      </c>
      <c r="Q27" s="111"/>
      <c r="R27" s="46" t="s">
        <v>51</v>
      </c>
      <c r="S27" s="109" t="s">
        <v>52</v>
      </c>
      <c r="T27" s="109"/>
      <c r="U27" s="109" t="s">
        <v>53</v>
      </c>
      <c r="V27" s="109"/>
    </row>
    <row r="28" spans="1:22" ht="36" customHeight="1" x14ac:dyDescent="0.2">
      <c r="A28" s="34" t="str">
        <f>IF(ISBLANK('Control Entry'!D36),"",'Control Entry'!D36)</f>
        <v/>
      </c>
      <c r="B28" s="35" t="str">
        <f>'Control Entry'!N36</f>
        <v/>
      </c>
      <c r="C28" s="35" t="str">
        <f>'Control Entry'!O36</f>
        <v/>
      </c>
      <c r="D28" s="36" t="str">
        <f>IF(ISBLANK('Control Entry'!E36),"",'Control Entry'!E36)</f>
        <v/>
      </c>
      <c r="E28" s="28" t="str">
        <f>IF(ISBLANK('Control Entry'!G36),"",'Control Entry'!G36)</f>
        <v/>
      </c>
      <c r="F28" s="85" t="str">
        <f>IF(ISBLANK('Control Entry'!J36),"",'Control Entry'!J36)</f>
        <v/>
      </c>
      <c r="G28" s="86"/>
      <c r="H28" s="24" t="s">
        <v>29</v>
      </c>
    </row>
    <row r="29" spans="1:22" ht="36" customHeight="1" thickBot="1" x14ac:dyDescent="0.25">
      <c r="A29" s="29"/>
      <c r="B29" s="30" t="str">
        <f>'Control Entry'!N36</f>
        <v/>
      </c>
      <c r="C29" s="30" t="str">
        <f>'Control Entry'!O36</f>
        <v/>
      </c>
      <c r="D29" s="31"/>
      <c r="E29" s="32" t="str">
        <f>IF(ISBLANK('Control Entry'!H36),"",'Control Entry'!H36)</f>
        <v/>
      </c>
      <c r="F29" s="89" t="str">
        <f>IF(ISBLANK('Control Entry'!K36),"",'Control Entry'!K36)</f>
        <v/>
      </c>
      <c r="G29" s="88"/>
      <c r="H29" s="24" t="s">
        <v>29</v>
      </c>
      <c r="M29" s="110" t="s">
        <v>42</v>
      </c>
      <c r="N29" s="110"/>
      <c r="O29" s="110"/>
      <c r="P29" s="110"/>
      <c r="Q29" s="110"/>
      <c r="R29" s="110"/>
      <c r="S29" s="110"/>
      <c r="T29" s="110"/>
      <c r="U29" s="49"/>
    </row>
    <row r="30" spans="1:22" ht="36" customHeight="1" x14ac:dyDescent="0.2">
      <c r="A30" s="25"/>
      <c r="B30" s="26" t="str">
        <f>'Control Entry'!N37</f>
        <v/>
      </c>
      <c r="C30" s="26" t="str">
        <f>'Control Entry'!O37</f>
        <v/>
      </c>
      <c r="D30" s="33"/>
      <c r="E30" s="28" t="str">
        <f>IF(ISBLANK('Control Entry'!F37),"",'Control Entry'!F37)</f>
        <v/>
      </c>
      <c r="F30" s="85" t="str">
        <f>IF(ISBLANK('Control Entry'!I37),"",'Control Entry'!I37)</f>
        <v/>
      </c>
      <c r="G30" s="86"/>
      <c r="H30" s="24" t="s">
        <v>29</v>
      </c>
      <c r="M30" s="16"/>
      <c r="N30" s="18"/>
      <c r="O30" s="18"/>
      <c r="P30" s="19"/>
      <c r="Q30" s="16"/>
      <c r="R30" s="18"/>
      <c r="S30" s="18"/>
      <c r="T30" s="19"/>
    </row>
    <row r="31" spans="1:22" ht="36" customHeight="1" x14ac:dyDescent="0.2">
      <c r="A31" s="34" t="str">
        <f>IF(ISBLANK('Control Entry'!D37),"",'Control Entry'!D37)</f>
        <v/>
      </c>
      <c r="B31" s="35" t="str">
        <f>'Control Entry'!N37</f>
        <v/>
      </c>
      <c r="C31" s="35" t="str">
        <f>'Control Entry'!O37</f>
        <v/>
      </c>
      <c r="D31" s="36" t="str">
        <f>IF(ISBLANK('Control Entry'!E37),"",'Control Entry'!E37)</f>
        <v>SECRET</v>
      </c>
      <c r="E31" s="28" t="str">
        <f>IF(ISBLANK('Control Entry'!G37),"",'Control Entry'!G37)</f>
        <v/>
      </c>
      <c r="F31" s="85" t="str">
        <f>IF(ISBLANK('Control Entry'!J37),"",'Control Entry'!J37)</f>
        <v/>
      </c>
      <c r="G31" s="86"/>
      <c r="H31" s="24" t="s">
        <v>29</v>
      </c>
      <c r="M31" s="17"/>
      <c r="P31" s="20"/>
      <c r="Q31" s="17"/>
      <c r="T31" s="20"/>
    </row>
    <row r="32" spans="1:22" ht="36" customHeight="1" thickBot="1" x14ac:dyDescent="0.25">
      <c r="A32" s="29"/>
      <c r="B32" s="30" t="str">
        <f>'Control Entry'!N37</f>
        <v/>
      </c>
      <c r="C32" s="30" t="str">
        <f>'Control Entry'!O37</f>
        <v/>
      </c>
      <c r="D32" s="31"/>
      <c r="E32" s="32" t="str">
        <f>IF(ISBLANK('Control Entry'!H37),"",'Control Entry'!H37)</f>
        <v/>
      </c>
      <c r="F32" s="89" t="str">
        <f>IF(ISBLANK('Control Entry'!K37),"",'Control Entry'!K37)</f>
        <v/>
      </c>
      <c r="G32" s="88"/>
      <c r="H32" s="24" t="s">
        <v>29</v>
      </c>
      <c r="M32" s="123" t="s">
        <v>82</v>
      </c>
      <c r="N32" s="124"/>
      <c r="O32" s="124"/>
      <c r="P32" s="125"/>
      <c r="Q32" s="126" t="d">
        <f>'Control Entry'!B3</f>
        <v>2022-11-09</v>
      </c>
      <c r="R32" s="127"/>
      <c r="S32" s="127"/>
      <c r="T32" s="128"/>
    </row>
    <row r="33" spans="1:22" ht="36" customHeight="1" x14ac:dyDescent="0.2">
      <c r="A33" s="117" t="s">
        <v>43</v>
      </c>
      <c r="B33" s="117"/>
      <c r="C33" s="117"/>
      <c r="D33" s="117"/>
      <c r="E33" s="117"/>
      <c r="F33" s="117"/>
      <c r="G33" s="117"/>
      <c r="H33" s="37"/>
      <c r="I33" s="37"/>
      <c r="M33" s="112" t="s">
        <v>86</v>
      </c>
      <c r="N33" s="113"/>
      <c r="O33" s="113"/>
      <c r="P33" s="113"/>
      <c r="Q33" s="114" t="d">
        <f>'Control Entry'!B4</f>
        <v>2023-08-14</v>
      </c>
      <c r="R33" s="115"/>
      <c r="S33" s="115"/>
      <c r="T33" s="115"/>
      <c r="V33" s="44"/>
    </row>
    <row r="34" spans="1:22" ht="36" customHeight="1" x14ac:dyDescent="0.2">
      <c r="A34"/>
      <c r="O34" s="15"/>
      <c r="P34" s="15"/>
      <c r="Q34" s="15"/>
      <c r="R34" s="42"/>
    </row>
    <row r="35" spans="1:22" ht="36" customHeight="1" x14ac:dyDescent="0.2">
      <c r="A35"/>
      <c r="N35" s="110"/>
      <c r="O35" s="110"/>
      <c r="P35" s="110"/>
      <c r="Q35" s="110"/>
      <c r="R35" s="110"/>
      <c r="S35" s="110"/>
      <c r="T35" s="110"/>
      <c r="U35" s="110"/>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DiqJ+JOYBhoyZ1m99XU4D8NDihYKDATVeEm7KPe0KaI0+RIl/s0HliAQDBep4bratR5dvcZSaZLG/PV3ddwAYA==" saltValue="BtrAYkICphSvoTgltO5kCQ==" spinCount="100000" sheet="1" objects="1" scenarios="1" formatCells="0" selectLockedCells="1"/>
  <mergeCells count="42">
    <mergeCell ref="L16:U16"/>
    <mergeCell ref="L22:N22"/>
    <mergeCell ref="S22:U22"/>
    <mergeCell ref="L11:N11"/>
    <mergeCell ref="S11:U11"/>
    <mergeCell ref="L12:N12"/>
    <mergeCell ref="S12:U12"/>
    <mergeCell ref="L13:N13"/>
    <mergeCell ref="R13:U13"/>
    <mergeCell ref="J21:U21"/>
    <mergeCell ref="U27:V27"/>
    <mergeCell ref="M33:P33"/>
    <mergeCell ref="J24:N24"/>
    <mergeCell ref="A1:G1"/>
    <mergeCell ref="K2:U2"/>
    <mergeCell ref="M4:T4"/>
    <mergeCell ref="N5:O5"/>
    <mergeCell ref="R5:U5"/>
    <mergeCell ref="O3:R3"/>
    <mergeCell ref="S24:U24"/>
    <mergeCell ref="Q33:T33"/>
    <mergeCell ref="L20:N20"/>
    <mergeCell ref="L6:U6"/>
    <mergeCell ref="T8:U8"/>
    <mergeCell ref="L9:U9"/>
    <mergeCell ref="L10:U10"/>
    <mergeCell ref="M32:P32"/>
    <mergeCell ref="Q32:T32"/>
    <mergeCell ref="A33:G33"/>
    <mergeCell ref="N35:U35"/>
    <mergeCell ref="L8:Q8"/>
    <mergeCell ref="M29:T29"/>
    <mergeCell ref="L15:U15"/>
    <mergeCell ref="S20:U20"/>
    <mergeCell ref="J25:N25"/>
    <mergeCell ref="P25:Q25"/>
    <mergeCell ref="S25:T25"/>
    <mergeCell ref="U25:V25"/>
    <mergeCell ref="K27:L27"/>
    <mergeCell ref="N27:O27"/>
    <mergeCell ref="P27:Q27"/>
    <mergeCell ref="S27:T27"/>
  </mergeCells>
  <phoneticPr fontId="16" type="noConversion"/>
  <conditionalFormatting sqref="J22:N22">
    <cfRule type="expression" dxfId="14" priority="2">
      <formula>$S$3="#2"</formula>
    </cfRule>
  </conditionalFormatting>
  <conditionalFormatting sqref="J21:U21">
    <cfRule type="expression" dxfId="13" priority="1">
      <formula>$S$3&lt;&gt;"#2"</formula>
    </cfRule>
  </conditionalFormatting>
  <conditionalFormatting sqref="K27:V27">
    <cfRule type="expression" dxfId="12" priority="3">
      <formula>$S$3="#2"</formula>
    </cfRule>
  </conditionalFormatting>
  <conditionalFormatting sqref="P22:U24">
    <cfRule type="expression" dxfId="11" priority="4">
      <formula>$S$3="#2"</formula>
    </cfRule>
  </conditionalFormatting>
  <printOptions horizontalCentered="1" verticalCentered="1"/>
  <pageMargins left="0.2" right="0.2" top="0.2" bottom="0.2" header="0.51" footer="0.51"/>
  <pageSetup scale="45" orientation="landscape" horizontalDpi="4294967292" verticalDpi="4294967292"/>
  <drawing r:id="rId1"/>
  <extLst>
    <ext xmlns="http://schemas.openxmlformats.org/spreadsheetml/2006/main" xmlns:mx="http://schemas.microsoft.com/office/mac/excel/2008/main" uri="{64002731-A6B0-56B0-2670-7721B7C09600}">
      <mx:PLV Mode="0" OnePage="0" WScale="100"/>
    </ext>
  </extLst>
</worksheet>
</file>

<file path=xl/worksheets/sheet4.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84409A-CD2B-D847-B15D-2D9B75969139}">
  <sheetPr>
    <pageSetUpPr fitToPage="1"/>
  </sheetPr>
  <dimension ref="A1:V40"/>
  <sheetViews>
    <sheetView showGridLines="0" zoomScale="92" zoomScaleNormal="92" zoomScalePageLayoutView="92" workbookViewId="0">
      <selection activeCell="F3" sqref="F3"/>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6" t="s">
        <v>74</v>
      </c>
      <c r="B1" s="116"/>
      <c r="C1" s="116"/>
      <c r="D1" s="116"/>
      <c r="E1" s="116"/>
      <c r="F1" s="116"/>
      <c r="G1" s="116"/>
      <c r="H1" s="24" t="s">
        <v>29</v>
      </c>
    </row>
    <row r="2" spans="1:22" ht="33.75" customHeight="1" thickBot="1" x14ac:dyDescent="0.25">
      <c r="A2" s="65" t="s">
        <v>30</v>
      </c>
      <c r="B2" s="9" t="s">
        <v>3</v>
      </c>
      <c r="C2" s="9" t="s">
        <v>4</v>
      </c>
      <c r="D2" s="9" t="s">
        <v>25</v>
      </c>
      <c r="E2" s="9" t="s">
        <v>31</v>
      </c>
      <c r="F2" s="9" t="s">
        <v>59</v>
      </c>
      <c r="G2" s="65" t="s">
        <v>32</v>
      </c>
      <c r="H2" s="24" t="s">
        <v>29</v>
      </c>
      <c r="K2" s="115" t="s">
        <v>55</v>
      </c>
      <c r="L2" s="115"/>
      <c r="M2" s="115"/>
      <c r="N2" s="115"/>
      <c r="O2" s="115"/>
      <c r="P2" s="115"/>
      <c r="Q2" s="115"/>
      <c r="R2" s="115"/>
      <c r="S2" s="115"/>
      <c r="T2" s="115"/>
      <c r="U2" s="115"/>
    </row>
    <row r="3" spans="1:22" ht="36" customHeight="1" x14ac:dyDescent="0.45">
      <c r="A3" s="25"/>
      <c r="B3" s="26" t="str">
        <f>'Control Entry'!N41</f>
        <v/>
      </c>
      <c r="C3" s="26" t="str">
        <f>'Control Entry'!O41</f>
        <v/>
      </c>
      <c r="D3" s="27"/>
      <c r="E3" s="28" t="str">
        <f>IF(ISBLANK('Control Entry'!F41),"",'Control Entry'!F41)</f>
        <v/>
      </c>
      <c r="F3" s="85" t="str">
        <f>IF(ISBLANK('Control Entry'!I41),"",'Control Entry'!I41)</f>
        <v/>
      </c>
      <c r="G3" s="86"/>
      <c r="H3" s="24" t="s">
        <v>29</v>
      </c>
      <c r="K3" s="14"/>
      <c r="O3" s="133" t="s">
        <v>73</v>
      </c>
      <c r="P3" s="133"/>
      <c r="Q3" s="133"/>
      <c r="R3" s="133"/>
      <c r="S3" s="75" t="str">
        <f>IF('Control Entry'!D41&lt;&gt;0,"#3",IF(AND('Control Entry'!D41=0,'Control Entry'!D54&lt;&gt;0),"#1",""))</f>
        <v/>
      </c>
      <c r="T3" s="76"/>
      <c r="U3" s="38"/>
    </row>
    <row r="4" spans="1:22" ht="36" customHeight="1" x14ac:dyDescent="0.2">
      <c r="A4" s="34" t="str">
        <f>IF(ISBLANK('Control Entry'!D41),"",'Control Entry'!D41)</f>
        <v/>
      </c>
      <c r="B4" s="35" t="str">
        <f>'Control Entry'!N41</f>
        <v/>
      </c>
      <c r="C4" s="35" t="str">
        <f>'Control Entry'!O41</f>
        <v/>
      </c>
      <c r="D4" s="36" t="str">
        <f>IF(ISBLANK('Control Entry'!E41),"",'Control Entry'!E41)</f>
        <v/>
      </c>
      <c r="E4" s="28" t="str">
        <f>IF(ISBLANK('Control Entry'!G41),"",'Control Entry'!G41)</f>
        <v/>
      </c>
      <c r="F4" s="85" t="str">
        <f>IF(ISBLANK('Control Entry'!J41),"",'Control Entry'!J41)</f>
        <v/>
      </c>
      <c r="G4" s="86"/>
      <c r="H4" s="24" t="s">
        <v>29</v>
      </c>
      <c r="K4" s="14"/>
      <c r="M4" s="118" t="str">
        <f>IF(ISBLANK(brevet),"",brevet&amp;" km Randonnée")</f>
        <v>200 km Randonnée</v>
      </c>
      <c r="N4" s="118"/>
      <c r="O4" s="118"/>
      <c r="P4" s="118"/>
      <c r="Q4" s="118"/>
      <c r="R4" s="118"/>
      <c r="S4" s="118"/>
      <c r="T4" s="118"/>
      <c r="U4" s="39"/>
    </row>
    <row r="5" spans="1:22" ht="36" customHeight="1" thickBot="1" x14ac:dyDescent="0.25">
      <c r="A5" s="29"/>
      <c r="B5" s="30" t="str">
        <f>'Control Entry'!N41</f>
        <v/>
      </c>
      <c r="C5" s="30" t="str">
        <f>'Control Entry'!O41</f>
        <v/>
      </c>
      <c r="D5" s="31"/>
      <c r="E5" s="32" t="str">
        <f>IF(ISBLANK('Control Entry'!H41),"",'Control Entry'!H41)</f>
        <v/>
      </c>
      <c r="F5" s="89" t="str">
        <f>IF(ISBLANK('Control Entry'!K41),"",'Control Entry'!K41)</f>
        <v/>
      </c>
      <c r="G5" s="88"/>
      <c r="H5" s="24" t="s">
        <v>29</v>
      </c>
      <c r="K5" s="14"/>
      <c r="M5" s="15"/>
      <c r="N5" s="109" t="s">
        <v>47</v>
      </c>
      <c r="O5" s="109"/>
      <c r="P5" s="52">
        <f>IF(ISBLANK(Brevet_Number),"",Brevet_Number)</f>
        <v>5276</v>
      </c>
      <c r="Q5" s="53"/>
      <c r="R5" s="121" t="d">
        <f>IF(ISBLANK('Control Entry'!$B10),"",'Control Entry'!$B10)</f>
        <v>2023-08-19</v>
      </c>
      <c r="S5" s="121"/>
      <c r="T5" s="121"/>
      <c r="U5" s="121"/>
      <c r="V5" s="40"/>
    </row>
    <row r="6" spans="1:22" ht="36" customHeight="1" x14ac:dyDescent="0.2">
      <c r="A6" s="25"/>
      <c r="B6" s="26" t="str">
        <f>'Control Entry'!N42</f>
        <v/>
      </c>
      <c r="C6" s="26" t="str">
        <f>'Control Entry'!O42</f>
        <v/>
      </c>
      <c r="D6" s="33"/>
      <c r="E6" s="28" t="str">
        <f>IF(ISBLANK('Control Entry'!F42),"",'Control Entry'!F42)</f>
        <v/>
      </c>
      <c r="F6" s="85" t="str">
        <f>IF(ISBLANK('Control Entry'!I42),"",'Control Entry'!I42)</f>
        <v/>
      </c>
      <c r="G6" s="86"/>
      <c r="H6" s="24" t="s">
        <v>29</v>
      </c>
      <c r="K6" s="14"/>
      <c r="L6" s="136" t="str">
        <f>IF(ISBLANK(Brevet_Description),"",Brevet_Description)</f>
        <v>Coombs Cumberland Explorer</v>
      </c>
      <c r="M6" s="136"/>
      <c r="N6" s="136"/>
      <c r="O6" s="136"/>
      <c r="P6" s="136"/>
      <c r="Q6" s="136"/>
      <c r="R6" s="136"/>
      <c r="S6" s="136"/>
      <c r="T6" s="136"/>
      <c r="U6" s="136"/>
    </row>
    <row r="7" spans="1:22" ht="36" customHeight="1" x14ac:dyDescent="0.2">
      <c r="A7" s="34" t="str">
        <f>IF(ISBLANK('Control Entry'!D42),"",'Control Entry'!D42)</f>
        <v/>
      </c>
      <c r="B7" s="35" t="str">
        <f>'Control Entry'!N42</f>
        <v/>
      </c>
      <c r="C7" s="35" t="str">
        <f>'Control Entry'!O42</f>
        <v/>
      </c>
      <c r="D7" s="36" t="str">
        <f>IF(ISBLANK('Control Entry'!E42),"",'Control Entry'!E42)</f>
        <v/>
      </c>
      <c r="E7" s="28" t="str">
        <f>IF(ISBLANK('Control Entry'!G42),"",'Control Entry'!G42)</f>
        <v/>
      </c>
      <c r="F7" s="85" t="str">
        <f>IF(ISBLANK('Control Entry'!J42),"",'Control Entry'!J42)</f>
        <v/>
      </c>
      <c r="G7" s="86"/>
      <c r="H7" s="24" t="s">
        <v>29</v>
      </c>
    </row>
    <row r="8" spans="1:22" ht="36" customHeight="1" thickBot="1" x14ac:dyDescent="0.25">
      <c r="A8" s="29"/>
      <c r="B8" s="30" t="str">
        <f>'Control Entry'!N42</f>
        <v/>
      </c>
      <c r="C8" s="30" t="str">
        <f>'Control Entry'!O42</f>
        <v/>
      </c>
      <c r="D8" s="31"/>
      <c r="E8" s="32" t="str">
        <f>IF(ISBLANK('Control Entry'!H42),"",'Control Entry'!H42)</f>
        <v/>
      </c>
      <c r="F8" s="89" t="str">
        <f>IF(ISBLANK('Control Entry'!K42),"",'Control Entry'!K42)</f>
        <v/>
      </c>
      <c r="G8" s="88"/>
      <c r="H8" s="24" t="s">
        <v>29</v>
      </c>
      <c r="J8" s="15" t="s">
        <v>34</v>
      </c>
      <c r="L8" s="122"/>
      <c r="M8" s="122"/>
      <c r="N8" s="122"/>
      <c r="O8" s="122"/>
      <c r="P8" s="122"/>
      <c r="Q8" s="122"/>
      <c r="S8" s="41" t="s">
        <v>46</v>
      </c>
      <c r="T8" s="129"/>
      <c r="U8" s="129"/>
    </row>
    <row r="9" spans="1:22" ht="36" customHeight="1" thickBot="1" x14ac:dyDescent="0.3">
      <c r="A9" s="25"/>
      <c r="B9" s="26" t="str">
        <f>'Control Entry'!N43</f>
        <v/>
      </c>
      <c r="C9" s="26" t="str">
        <f>'Control Entry'!O43</f>
        <v/>
      </c>
      <c r="D9" s="33"/>
      <c r="E9" s="28" t="str">
        <f>IF(ISBLANK('Control Entry'!F43),"",'Control Entry'!F43)</f>
        <v/>
      </c>
      <c r="F9" s="85" t="str">
        <f>IF(ISBLANK('Control Entry'!I43),"",'Control Entry'!I43)</f>
        <v/>
      </c>
      <c r="G9" s="86"/>
      <c r="H9" s="24" t="s">
        <v>29</v>
      </c>
      <c r="J9" s="15" t="s">
        <v>35</v>
      </c>
      <c r="K9" s="15"/>
      <c r="L9" s="138" t="s">
        <v>54</v>
      </c>
      <c r="M9" s="138"/>
      <c r="N9" s="138"/>
      <c r="O9" s="138"/>
      <c r="P9" s="138"/>
      <c r="Q9" s="138"/>
      <c r="R9" s="138"/>
      <c r="S9" s="138"/>
      <c r="T9" s="138"/>
      <c r="U9" s="138"/>
    </row>
    <row r="10" spans="1:22" ht="36" customHeight="1" thickBot="1" x14ac:dyDescent="0.3">
      <c r="A10" s="34" t="str">
        <f>IF(ISBLANK('Control Entry'!D43),"",'Control Entry'!D43)</f>
        <v/>
      </c>
      <c r="B10" s="35" t="str">
        <f>'Control Entry'!N43</f>
        <v/>
      </c>
      <c r="C10" s="35" t="str">
        <f>'Control Entry'!O43</f>
        <v/>
      </c>
      <c r="D10" s="36" t="str">
        <f>IF(ISBLANK('Control Entry'!E43),"",'Control Entry'!E43)</f>
        <v/>
      </c>
      <c r="E10" s="28" t="str">
        <f>IF(ISBLANK('Control Entry'!G43),"",'Control Entry'!G43)</f>
        <v/>
      </c>
      <c r="F10" s="85" t="str">
        <f>IF(ISBLANK('Control Entry'!J43),"",'Control Entry'!J43)</f>
        <v/>
      </c>
      <c r="G10" s="86"/>
      <c r="H10" s="24" t="s">
        <v>29</v>
      </c>
      <c r="J10" s="15"/>
      <c r="K10" s="15"/>
      <c r="L10" s="131"/>
      <c r="M10" s="131"/>
      <c r="N10" s="131"/>
      <c r="O10" s="131"/>
      <c r="P10" s="131"/>
      <c r="Q10" s="131"/>
      <c r="R10" s="131"/>
      <c r="S10" s="131"/>
      <c r="T10" s="131"/>
      <c r="U10" s="131"/>
    </row>
    <row r="11" spans="1:22" ht="36" customHeight="1" thickBot="1" x14ac:dyDescent="0.3">
      <c r="A11" s="29"/>
      <c r="B11" s="30" t="str">
        <f>'Control Entry'!N43</f>
        <v/>
      </c>
      <c r="C11" s="30" t="str">
        <f>'Control Entry'!O43</f>
        <v/>
      </c>
      <c r="D11" s="31"/>
      <c r="E11" s="32" t="str">
        <f>IF(ISBLANK('Control Entry'!H43),"",'Control Entry'!H43)</f>
        <v/>
      </c>
      <c r="F11" s="89" t="str">
        <f>IF(ISBLANK('Control Entry'!K43),"",'Control Entry'!K43)</f>
        <v/>
      </c>
      <c r="G11" s="88"/>
      <c r="H11" s="24" t="s">
        <v>29</v>
      </c>
      <c r="J11" s="15" t="s">
        <v>36</v>
      </c>
      <c r="K11" s="15"/>
      <c r="L11" s="131"/>
      <c r="M11" s="131"/>
      <c r="N11" s="131"/>
      <c r="O11" s="15"/>
      <c r="P11" s="15" t="s">
        <v>37</v>
      </c>
      <c r="Q11" s="15"/>
      <c r="R11" s="15"/>
      <c r="S11" s="119"/>
      <c r="T11" s="119"/>
      <c r="U11" s="119"/>
    </row>
    <row r="12" spans="1:22" ht="36" customHeight="1" thickBot="1" x14ac:dyDescent="0.3">
      <c r="A12" s="25"/>
      <c r="B12" s="26" t="str">
        <f>'Control Entry'!N44</f>
        <v/>
      </c>
      <c r="C12" s="26" t="str">
        <f>'Control Entry'!O44</f>
        <v/>
      </c>
      <c r="D12" s="33"/>
      <c r="E12" s="28" t="str">
        <f>IF(ISBLANK('Control Entry'!F44),"",'Control Entry'!F44)</f>
        <v/>
      </c>
      <c r="F12" s="85" t="str">
        <f>IF(ISBLANK('Control Entry'!I44),"",'Control Entry'!I44)</f>
        <v/>
      </c>
      <c r="G12" s="86"/>
      <c r="H12" s="24" t="s">
        <v>29</v>
      </c>
      <c r="J12" s="15" t="s">
        <v>38</v>
      </c>
      <c r="K12" s="15"/>
      <c r="L12" s="131"/>
      <c r="M12" s="131"/>
      <c r="N12" s="131"/>
      <c r="O12" s="15"/>
      <c r="P12" s="15" t="s">
        <v>39</v>
      </c>
      <c r="Q12" s="15"/>
      <c r="R12" s="15"/>
      <c r="S12" s="119"/>
      <c r="T12" s="119"/>
      <c r="U12" s="119"/>
    </row>
    <row r="13" spans="1:22" ht="36" customHeight="1" thickBot="1" x14ac:dyDescent="0.3">
      <c r="A13" s="34" t="str">
        <f>IF(ISBLANK('Control Entry'!D44),"",'Control Entry'!D44)</f>
        <v/>
      </c>
      <c r="B13" s="35" t="str">
        <f>'Control Entry'!N44</f>
        <v/>
      </c>
      <c r="C13" s="35" t="str">
        <f>'Control Entry'!O44</f>
        <v/>
      </c>
      <c r="D13" s="36" t="str">
        <f>IF(ISBLANK('Control Entry'!E44),"",'Control Entry'!E44)</f>
        <v/>
      </c>
      <c r="E13" s="28" t="str">
        <f>IF(ISBLANK('Control Entry'!G44),"",'Control Entry'!G44)</f>
        <v/>
      </c>
      <c r="F13" s="85" t="str">
        <f>IF(ISBLANK('Control Entry'!J44),"",'Control Entry'!J44)</f>
        <v/>
      </c>
      <c r="G13" s="86"/>
      <c r="H13" s="24" t="s">
        <v>29</v>
      </c>
      <c r="J13" s="15" t="s">
        <v>40</v>
      </c>
      <c r="L13" s="141"/>
      <c r="M13" s="141"/>
      <c r="N13" s="141"/>
      <c r="P13" s="15" t="s">
        <v>41</v>
      </c>
      <c r="Q13" s="15"/>
      <c r="R13" s="120"/>
      <c r="S13" s="120"/>
      <c r="T13" s="120"/>
      <c r="U13" s="120"/>
    </row>
    <row r="14" spans="1:22" ht="36" customHeight="1" thickBot="1" x14ac:dyDescent="0.25">
      <c r="A14" s="29"/>
      <c r="B14" s="30" t="str">
        <f>'Control Entry'!N44</f>
        <v/>
      </c>
      <c r="C14" s="30" t="str">
        <f>'Control Entry'!O44</f>
        <v/>
      </c>
      <c r="D14" s="31"/>
      <c r="E14" s="32" t="str">
        <f>IF(ISBLANK('Control Entry'!H44),"",'Control Entry'!H44)</f>
        <v/>
      </c>
      <c r="F14" s="89" t="str">
        <f>IF(ISBLANK('Control Entry'!K44),"",'Control Entry'!K44)</f>
        <v/>
      </c>
      <c r="G14" s="88"/>
      <c r="H14" s="24" t="s">
        <v>29</v>
      </c>
    </row>
    <row r="15" spans="1:22" ht="36" customHeight="1" x14ac:dyDescent="0.2">
      <c r="A15" s="25"/>
      <c r="B15" s="26" t="str">
        <f>'Control Entry'!N45</f>
        <v/>
      </c>
      <c r="C15" s="26" t="str">
        <f>'Control Entry'!O45</f>
        <v/>
      </c>
      <c r="D15" s="33"/>
      <c r="E15" s="28" t="str">
        <f>IF(ISBLANK('Control Entry'!F45),"",'Control Entry'!F45)</f>
        <v/>
      </c>
      <c r="F15" s="85" t="str">
        <f>IF(ISBLANK('Control Entry'!I45),"",'Control Entry'!I45)</f>
        <v/>
      </c>
      <c r="G15" s="86"/>
      <c r="H15" s="24" t="s">
        <v>29</v>
      </c>
      <c r="J15" s="15"/>
      <c r="L15" s="135" t="s">
        <v>58</v>
      </c>
      <c r="M15" s="135"/>
      <c r="N15" s="135"/>
      <c r="O15" s="135"/>
      <c r="P15" s="135"/>
      <c r="Q15" s="135"/>
      <c r="R15" s="135"/>
      <c r="S15" s="135"/>
      <c r="T15" s="135"/>
      <c r="U15" s="135"/>
    </row>
    <row r="16" spans="1:22" ht="36" customHeight="1" thickBot="1" x14ac:dyDescent="0.25">
      <c r="A16" s="34" t="str">
        <f>IF(ISBLANK('Control Entry'!D45),"",'Control Entry'!D45)</f>
        <v/>
      </c>
      <c r="B16" s="35" t="str">
        <f>'Control Entry'!N45</f>
        <v/>
      </c>
      <c r="C16" s="35" t="str">
        <f>'Control Entry'!O45</f>
        <v/>
      </c>
      <c r="D16" s="36" t="str">
        <f>IF(ISBLANK('Control Entry'!E45),"",'Control Entry'!E45)</f>
        <v/>
      </c>
      <c r="E16" s="28" t="str">
        <f>IF(ISBLANK('Control Entry'!G45),"",'Control Entry'!G45)</f>
        <v/>
      </c>
      <c r="F16" s="85" t="str">
        <f>IF(ISBLANK('Control Entry'!J45),"",'Control Entry'!J45)</f>
        <v/>
      </c>
      <c r="G16" s="86"/>
      <c r="H16" s="24" t="s">
        <v>29</v>
      </c>
      <c r="L16" s="143"/>
      <c r="M16" s="143"/>
      <c r="N16" s="143"/>
      <c r="O16" s="143"/>
      <c r="P16" s="143"/>
      <c r="Q16" s="143"/>
      <c r="R16" s="143"/>
      <c r="S16" s="143"/>
      <c r="T16" s="143"/>
      <c r="U16" s="143"/>
    </row>
    <row r="17" spans="1:22" ht="36" customHeight="1" thickBot="1" x14ac:dyDescent="0.25">
      <c r="A17" s="29"/>
      <c r="B17" s="30" t="str">
        <f>'Control Entry'!N45</f>
        <v/>
      </c>
      <c r="C17" s="30" t="str">
        <f>'Control Entry'!O45</f>
        <v/>
      </c>
      <c r="D17" s="31"/>
      <c r="E17" s="32" t="str">
        <f>IF(ISBLANK('Control Entry'!H45),"",'Control Entry'!H45)</f>
        <v/>
      </c>
      <c r="F17" s="89" t="str">
        <f>IF(ISBLANK('Control Entry'!K45),"",'Control Entry'!K45)</f>
        <v/>
      </c>
      <c r="G17" s="88"/>
      <c r="H17" s="24" t="s">
        <v>29</v>
      </c>
    </row>
    <row r="18" spans="1:22" ht="36" customHeight="1" x14ac:dyDescent="0.2">
      <c r="A18" s="25"/>
      <c r="B18" s="26" t="str">
        <f>'Control Entry'!N46</f>
        <v/>
      </c>
      <c r="C18" s="26" t="str">
        <f>'Control Entry'!O46</f>
        <v/>
      </c>
      <c r="D18" s="33"/>
      <c r="E18" s="28" t="str">
        <f>IF(ISBLANK('Control Entry'!F46),"",'Control Entry'!F46)</f>
        <v/>
      </c>
      <c r="F18" s="85" t="str">
        <f>IF(ISBLANK('Control Entry'!I46),"",'Control Entry'!I46)</f>
        <v/>
      </c>
      <c r="G18" s="86"/>
      <c r="H18" s="24" t="s">
        <v>29</v>
      </c>
    </row>
    <row r="19" spans="1:22" ht="36" customHeight="1" x14ac:dyDescent="0.2">
      <c r="A19" s="34" t="str">
        <f>IF(ISBLANK('Control Entry'!D46),"",'Control Entry'!D46)</f>
        <v/>
      </c>
      <c r="B19" s="35" t="str">
        <f>'Control Entry'!N46</f>
        <v/>
      </c>
      <c r="C19" s="35" t="str">
        <f>'Control Entry'!O46</f>
        <v/>
      </c>
      <c r="D19" s="36" t="str">
        <f>IF(ISBLANK('Control Entry'!E46),"",'Control Entry'!E46)</f>
        <v/>
      </c>
      <c r="E19" s="28" t="str">
        <f>IF(ISBLANK('Control Entry'!G46),"",'Control Entry'!G46)</f>
        <v/>
      </c>
      <c r="F19" s="85" t="str">
        <f>IF(ISBLANK('Control Entry'!J46),"",'Control Entry'!J46)</f>
        <v/>
      </c>
      <c r="G19" s="86"/>
      <c r="H19" s="24" t="s">
        <v>29</v>
      </c>
    </row>
    <row r="20" spans="1:22" ht="36" customHeight="1" thickBot="1" x14ac:dyDescent="0.25">
      <c r="A20" s="29"/>
      <c r="B20" s="30" t="str">
        <f>'Control Entry'!N46</f>
        <v/>
      </c>
      <c r="C20" s="30" t="str">
        <f>'Control Entry'!O46</f>
        <v/>
      </c>
      <c r="D20" s="31"/>
      <c r="E20" s="32" t="str">
        <f>IF(ISBLANK('Control Entry'!H46),"",'Control Entry'!H46)</f>
        <v/>
      </c>
      <c r="F20" s="89" t="str">
        <f>IF(ISBLANK('Control Entry'!K46),"",'Control Entry'!K46)</f>
        <v/>
      </c>
      <c r="G20" s="88"/>
      <c r="H20" s="24" t="s">
        <v>29</v>
      </c>
      <c r="J20" s="50" t="s">
        <v>44</v>
      </c>
      <c r="K20" s="50"/>
      <c r="L20" s="130" t="d">
        <f>IF(ISBLANK('Control Entry'!B12),"",'Control Entry'!B12)</f>
        <v>2023-08-19</v>
      </c>
      <c r="M20" s="130"/>
      <c r="N20" s="130"/>
      <c r="P20" s="15" t="s">
        <v>0</v>
      </c>
      <c r="Q20" s="15"/>
      <c r="S20" s="134" t="d">
        <f>IF(ISBLANK('Control Entry'!B13),"",'Control Entry'!B13)</f>
        <v>07:00:00.0000000000015975</v>
      </c>
      <c r="T20" s="134"/>
      <c r="U20" s="134"/>
    </row>
    <row r="21" spans="1:22" ht="36" customHeight="1" x14ac:dyDescent="0.2">
      <c r="A21" s="25"/>
      <c r="B21" s="26" t="str">
        <f>'Control Entry'!N47</f>
        <v/>
      </c>
      <c r="C21" s="26" t="str">
        <f>'Control Entry'!O47</f>
        <v/>
      </c>
      <c r="D21" s="33"/>
      <c r="E21" s="28" t="str">
        <f>IF(ISBLANK('Control Entry'!F47),"",'Control Entry'!F47)</f>
        <v/>
      </c>
      <c r="F21" s="85" t="str">
        <f>IF(ISBLANK('Control Entry'!I47),"",'Control Entry'!I47)</f>
        <v/>
      </c>
      <c r="G21" s="86"/>
      <c r="H21" s="24" t="s">
        <v>29</v>
      </c>
      <c r="J21" s="136" t="s">
        <v>90</v>
      </c>
      <c r="K21" s="136"/>
      <c r="L21" s="136"/>
      <c r="M21" s="136"/>
      <c r="N21" s="136"/>
      <c r="O21" s="136"/>
      <c r="P21" s="136"/>
      <c r="Q21" s="136"/>
      <c r="R21" s="136"/>
      <c r="S21" s="136"/>
      <c r="T21" s="136"/>
      <c r="U21" s="136"/>
    </row>
    <row r="22" spans="1:22" ht="36" customHeight="1" thickBot="1" x14ac:dyDescent="0.25">
      <c r="A22" s="34" t="str">
        <f>IF(ISBLANK('Control Entry'!D47),"",'Control Entry'!D47)</f>
        <v/>
      </c>
      <c r="B22" s="35" t="str">
        <f>'Control Entry'!N47</f>
        <v/>
      </c>
      <c r="C22" s="35" t="str">
        <f>'Control Entry'!O47</f>
        <v/>
      </c>
      <c r="D22" s="36" t="str">
        <f>IF(ISBLANK('Control Entry'!E47),"",'Control Entry'!E47)</f>
        <v/>
      </c>
      <c r="E22" s="28" t="str">
        <f>IF(ISBLANK('Control Entry'!G47),"",'Control Entry'!G47)</f>
        <v/>
      </c>
      <c r="F22" s="85" t="str">
        <f>IF(ISBLANK('Control Entry'!J47),"",'Control Entry'!J47)</f>
        <v/>
      </c>
      <c r="G22" s="86"/>
      <c r="H22" s="24" t="s">
        <v>29</v>
      </c>
      <c r="J22" s="50" t="s">
        <v>45</v>
      </c>
      <c r="K22" s="50"/>
      <c r="L22" s="90"/>
      <c r="M22" s="90"/>
      <c r="N22" s="90"/>
      <c r="P22" s="15" t="s">
        <v>1</v>
      </c>
      <c r="Q22" s="15"/>
      <c r="S22" s="137"/>
      <c r="T22" s="137"/>
      <c r="U22" s="137"/>
    </row>
    <row r="23" spans="1:22" ht="36" customHeight="1" thickBot="1" x14ac:dyDescent="0.25">
      <c r="A23" s="29"/>
      <c r="B23" s="30" t="str">
        <f>'Control Entry'!N47</f>
        <v/>
      </c>
      <c r="C23" s="30" t="str">
        <f>'Control Entry'!O47</f>
        <v/>
      </c>
      <c r="D23" s="31"/>
      <c r="E23" s="32" t="str">
        <f>IF(ISBLANK('Control Entry'!H47),"",'Control Entry'!H47)</f>
        <v/>
      </c>
      <c r="F23" s="89" t="str">
        <f>IF(ISBLANK('Control Entry'!K47),"",'Control Entry'!K47)</f>
        <v/>
      </c>
      <c r="G23" s="88"/>
      <c r="H23" s="24" t="s">
        <v>29</v>
      </c>
      <c r="J23" s="50"/>
      <c r="K23" s="50"/>
      <c r="L23" s="44"/>
      <c r="M23" s="44"/>
      <c r="N23" s="44"/>
      <c r="P23" s="15"/>
      <c r="Q23" s="15"/>
    </row>
    <row r="24" spans="1:22" ht="36" customHeight="1" thickBot="1" x14ac:dyDescent="0.25">
      <c r="A24" s="25"/>
      <c r="B24" s="26" t="str">
        <f>'Control Entry'!N48</f>
        <v/>
      </c>
      <c r="C24" s="26" t="str">
        <f>'Control Entry'!O48</f>
        <v/>
      </c>
      <c r="D24" s="33"/>
      <c r="E24" s="28" t="str">
        <f>IF(ISBLANK('Control Entry'!F48),"",'Control Entry'!F48)</f>
        <v/>
      </c>
      <c r="F24" s="85" t="str">
        <f>IF(ISBLANK('Control Entry'!I48),"",'Control Entry'!I48)</f>
        <v/>
      </c>
      <c r="G24" s="86"/>
      <c r="H24" s="24" t="s">
        <v>29</v>
      </c>
      <c r="J24" s="137"/>
      <c r="K24" s="137"/>
      <c r="L24" s="137"/>
      <c r="M24" s="137"/>
      <c r="N24" s="137"/>
      <c r="P24" s="15" t="s">
        <v>2</v>
      </c>
      <c r="Q24" s="15"/>
      <c r="S24" s="137"/>
      <c r="T24" s="137"/>
      <c r="U24" s="137"/>
    </row>
    <row r="25" spans="1:22" ht="36" customHeight="1" x14ac:dyDescent="0.2">
      <c r="A25" s="34" t="str">
        <f>IF(ISBLANK('Control Entry'!D48),"",'Control Entry'!D48)</f>
        <v/>
      </c>
      <c r="B25" s="35" t="str">
        <f>'Control Entry'!N48</f>
        <v/>
      </c>
      <c r="C25" s="35" t="str">
        <f>'Control Entry'!O48</f>
        <v/>
      </c>
      <c r="D25" s="36" t="str">
        <f>IF(ISBLANK('Control Entry'!E48),"",'Control Entry'!E48)</f>
        <v/>
      </c>
      <c r="E25" s="28" t="str">
        <f>IF(ISBLANK('Control Entry'!G48),"",'Control Entry'!G48)</f>
        <v/>
      </c>
      <c r="F25" s="85" t="str">
        <f>IF(ISBLANK('Control Entry'!J48),"",'Control Entry'!J48)</f>
        <v/>
      </c>
      <c r="G25" s="86"/>
      <c r="H25" s="24" t="s">
        <v>29</v>
      </c>
      <c r="J25" s="132" t="s">
        <v>17</v>
      </c>
      <c r="K25" s="132"/>
      <c r="L25" s="132"/>
      <c r="M25" s="132"/>
      <c r="N25" s="132"/>
      <c r="O25" s="46"/>
      <c r="P25" s="111"/>
      <c r="Q25" s="111"/>
      <c r="R25" s="46"/>
      <c r="S25" s="109"/>
      <c r="T25" s="109"/>
      <c r="U25" s="109"/>
      <c r="V25" s="109"/>
    </row>
    <row r="26" spans="1:22" ht="36" customHeight="1" thickBot="1" x14ac:dyDescent="0.25">
      <c r="A26" s="29"/>
      <c r="B26" s="30" t="str">
        <f>'Control Entry'!N48</f>
        <v/>
      </c>
      <c r="C26" s="30" t="str">
        <f>'Control Entry'!O48</f>
        <v/>
      </c>
      <c r="D26" s="31"/>
      <c r="E26" s="32" t="str">
        <f>IF(ISBLANK('Control Entry'!H48),"",'Control Entry'!H48)</f>
        <v/>
      </c>
      <c r="F26" s="89" t="str">
        <f>IF(ISBLANK('Control Entry'!K48),"",'Control Entry'!K48)</f>
        <v/>
      </c>
      <c r="G26" s="88"/>
      <c r="H26" s="24" t="s">
        <v>29</v>
      </c>
    </row>
    <row r="27" spans="1:22" ht="36" customHeight="1" x14ac:dyDescent="0.2">
      <c r="A27" s="25"/>
      <c r="B27" s="26" t="str">
        <f>'Control Entry'!N49</f>
        <v/>
      </c>
      <c r="C27" s="26" t="str">
        <f>'Control Entry'!O49</f>
        <v/>
      </c>
      <c r="D27" s="33"/>
      <c r="E27" s="28" t="str">
        <f>IF(ISBLANK('Control Entry'!F49),"",'Control Entry'!F49)</f>
        <v/>
      </c>
      <c r="F27" s="85" t="str">
        <f>IF(ISBLANK('Control Entry'!I49),"",'Control Entry'!I49)</f>
        <v/>
      </c>
      <c r="G27" s="86"/>
      <c r="H27" s="24" t="s">
        <v>29</v>
      </c>
      <c r="K27" s="118" t="s">
        <v>56</v>
      </c>
      <c r="L27" s="111"/>
      <c r="M27" s="45" t="s">
        <v>57</v>
      </c>
      <c r="N27" s="111" t="s">
        <v>49</v>
      </c>
      <c r="O27" s="111"/>
      <c r="P27" s="111" t="s">
        <v>50</v>
      </c>
      <c r="Q27" s="111"/>
      <c r="R27" s="46" t="s">
        <v>51</v>
      </c>
      <c r="S27" s="109" t="s">
        <v>52</v>
      </c>
      <c r="T27" s="109"/>
      <c r="U27" s="109" t="s">
        <v>53</v>
      </c>
      <c r="V27" s="109"/>
    </row>
    <row r="28" spans="1:22" ht="36" customHeight="1" x14ac:dyDescent="0.2">
      <c r="A28" s="34" t="str">
        <f>IF(ISBLANK('Control Entry'!D49),"",'Control Entry'!D49)</f>
        <v/>
      </c>
      <c r="B28" s="35" t="str">
        <f>'Control Entry'!N49</f>
        <v/>
      </c>
      <c r="C28" s="35" t="str">
        <f>'Control Entry'!O49</f>
        <v/>
      </c>
      <c r="D28" s="36" t="str">
        <f>IF(ISBLANK('Control Entry'!E49),"",'Control Entry'!E49)</f>
        <v/>
      </c>
      <c r="E28" s="28" t="str">
        <f>IF(ISBLANK('Control Entry'!G49),"",'Control Entry'!G49)</f>
        <v/>
      </c>
      <c r="F28" s="85" t="str">
        <f>IF(ISBLANK('Control Entry'!J49),"",'Control Entry'!J49)</f>
        <v/>
      </c>
      <c r="G28" s="86"/>
      <c r="H28" s="24" t="s">
        <v>29</v>
      </c>
    </row>
    <row r="29" spans="1:22" ht="36" customHeight="1" thickBot="1" x14ac:dyDescent="0.25">
      <c r="A29" s="29"/>
      <c r="B29" s="30" t="str">
        <f>'Control Entry'!N49</f>
        <v/>
      </c>
      <c r="C29" s="30" t="str">
        <f>'Control Entry'!O49</f>
        <v/>
      </c>
      <c r="D29" s="31"/>
      <c r="E29" s="32" t="str">
        <f>IF(ISBLANK('Control Entry'!H49),"",'Control Entry'!H49)</f>
        <v/>
      </c>
      <c r="F29" s="89" t="str">
        <f>IF(ISBLANK('Control Entry'!K49),"",'Control Entry'!K49)</f>
        <v/>
      </c>
      <c r="G29" s="88"/>
      <c r="H29" s="24" t="s">
        <v>29</v>
      </c>
      <c r="M29" s="110" t="s">
        <v>42</v>
      </c>
      <c r="N29" s="110"/>
      <c r="O29" s="110"/>
      <c r="P29" s="110"/>
      <c r="Q29" s="110"/>
      <c r="R29" s="110"/>
      <c r="S29" s="110"/>
      <c r="T29" s="110"/>
      <c r="U29" s="49"/>
    </row>
    <row r="30" spans="1:22" ht="36" customHeight="1" x14ac:dyDescent="0.2">
      <c r="A30" s="25"/>
      <c r="B30" s="26" t="str">
        <f>'Control Entry'!N50</f>
        <v/>
      </c>
      <c r="C30" s="26" t="str">
        <f>'Control Entry'!O50</f>
        <v/>
      </c>
      <c r="D30" s="33"/>
      <c r="E30" s="28" t="str">
        <f>IF(ISBLANK('Control Entry'!F50),"",'Control Entry'!F50)</f>
        <v/>
      </c>
      <c r="F30" s="85" t="str">
        <f>IF(ISBLANK('Control Entry'!I50),"",'Control Entry'!I50)</f>
        <v/>
      </c>
      <c r="G30" s="86"/>
      <c r="H30" s="24" t="s">
        <v>29</v>
      </c>
      <c r="M30" s="16"/>
      <c r="N30" s="18"/>
      <c r="O30" s="18"/>
      <c r="P30" s="19"/>
      <c r="Q30" s="16"/>
      <c r="R30" s="18"/>
      <c r="S30" s="18"/>
      <c r="T30" s="19"/>
    </row>
    <row r="31" spans="1:22" ht="36" customHeight="1" x14ac:dyDescent="0.2">
      <c r="A31" s="34" t="str">
        <f>IF(ISBLANK('Control Entry'!D50),"",'Control Entry'!D50)</f>
        <v/>
      </c>
      <c r="B31" s="35" t="str">
        <f>'Control Entry'!N50</f>
        <v/>
      </c>
      <c r="C31" s="35" t="str">
        <f>'Control Entry'!O50</f>
        <v/>
      </c>
      <c r="D31" s="36" t="str">
        <f>IF(ISBLANK('Control Entry'!E50),"",'Control Entry'!E50)</f>
        <v/>
      </c>
      <c r="E31" s="28" t="str">
        <f>IF(ISBLANK('Control Entry'!G50),"",'Control Entry'!G50)</f>
        <v/>
      </c>
      <c r="F31" s="85" t="str">
        <f>IF(ISBLANK('Control Entry'!J50),"",'Control Entry'!J50)</f>
        <v/>
      </c>
      <c r="G31" s="86"/>
      <c r="H31" s="24" t="s">
        <v>29</v>
      </c>
      <c r="M31" s="17"/>
      <c r="P31" s="20"/>
      <c r="Q31" s="17"/>
      <c r="T31" s="20"/>
    </row>
    <row r="32" spans="1:22" ht="36" customHeight="1" thickBot="1" x14ac:dyDescent="0.25">
      <c r="A32" s="29"/>
      <c r="B32" s="30" t="str">
        <f>'Control Entry'!N50</f>
        <v/>
      </c>
      <c r="C32" s="30" t="str">
        <f>'Control Entry'!O50</f>
        <v/>
      </c>
      <c r="D32" s="31"/>
      <c r="E32" s="32" t="str">
        <f>IF(ISBLANK('Control Entry'!H50),"",'Control Entry'!H50)</f>
        <v/>
      </c>
      <c r="F32" s="89" t="str">
        <f>IF(ISBLANK('Control Entry'!K50),"",'Control Entry'!K50)</f>
        <v/>
      </c>
      <c r="G32" s="88"/>
      <c r="H32" s="24" t="s">
        <v>29</v>
      </c>
      <c r="M32" s="123" t="s">
        <v>82</v>
      </c>
      <c r="N32" s="124"/>
      <c r="O32" s="124"/>
      <c r="P32" s="125"/>
      <c r="Q32" s="126" t="d">
        <f>'Control Entry'!B3</f>
        <v>2022-11-09</v>
      </c>
      <c r="R32" s="127"/>
      <c r="S32" s="127"/>
      <c r="T32" s="128"/>
    </row>
    <row r="33" spans="1:22" ht="36" customHeight="1" x14ac:dyDescent="0.2">
      <c r="A33" s="117" t="s">
        <v>43</v>
      </c>
      <c r="B33" s="117"/>
      <c r="C33" s="117"/>
      <c r="D33" s="117"/>
      <c r="E33" s="117"/>
      <c r="F33" s="117"/>
      <c r="G33" s="117"/>
      <c r="H33" s="37"/>
      <c r="I33" s="37"/>
      <c r="M33" s="112" t="s">
        <v>86</v>
      </c>
      <c r="N33" s="113"/>
      <c r="O33" s="113"/>
      <c r="P33" s="113"/>
      <c r="Q33" s="114" t="d">
        <f>'Control Entry'!B4</f>
        <v>2023-08-14</v>
      </c>
      <c r="R33" s="115"/>
      <c r="S33" s="115"/>
      <c r="T33" s="115"/>
      <c r="U33" s="82"/>
      <c r="V33" s="44"/>
    </row>
    <row r="34" spans="1:22" ht="36" customHeight="1" x14ac:dyDescent="0.2">
      <c r="A34"/>
      <c r="O34" s="15"/>
      <c r="P34" s="15"/>
      <c r="Q34" s="15"/>
      <c r="R34" s="42"/>
    </row>
    <row r="35" spans="1:22" ht="36" customHeight="1" x14ac:dyDescent="0.2">
      <c r="A35"/>
      <c r="N35" s="110"/>
      <c r="O35" s="110"/>
      <c r="P35" s="110"/>
      <c r="Q35" s="110"/>
      <c r="R35" s="110"/>
      <c r="S35" s="110"/>
      <c r="T35" s="110"/>
      <c r="U35" s="110"/>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n04OlOPypxKiXZHfTF7SZ14P8gX/OWk/qktZJUCZqh+6Nv8BjLLr9UXJBNwuWtsY5jnC73Xiuu+JFtcLWZMoiA==" saltValue="FabpdyB7wrMR7nA5d9noMA==" spinCount="100000" sheet="1" objects="1" scenarios="1" formatCells="0" selectLockedCells="1"/>
  <mergeCells count="41">
    <mergeCell ref="S22:U22"/>
    <mergeCell ref="J24:N24"/>
    <mergeCell ref="S24:U24"/>
    <mergeCell ref="S11:U11"/>
    <mergeCell ref="L12:N12"/>
    <mergeCell ref="S12:U12"/>
    <mergeCell ref="L13:N13"/>
    <mergeCell ref="R13:U13"/>
    <mergeCell ref="J21:U21"/>
    <mergeCell ref="M33:P33"/>
    <mergeCell ref="Q33:T33"/>
    <mergeCell ref="L20:N20"/>
    <mergeCell ref="A33:G33"/>
    <mergeCell ref="N35:U35"/>
    <mergeCell ref="U27:V27"/>
    <mergeCell ref="M29:T29"/>
    <mergeCell ref="K27:L27"/>
    <mergeCell ref="N27:O27"/>
    <mergeCell ref="P27:Q27"/>
    <mergeCell ref="S27:T27"/>
    <mergeCell ref="J25:N25"/>
    <mergeCell ref="P25:Q25"/>
    <mergeCell ref="S25:T25"/>
    <mergeCell ref="U25:V25"/>
    <mergeCell ref="M32:P32"/>
    <mergeCell ref="Q32:T32"/>
    <mergeCell ref="A1:G1"/>
    <mergeCell ref="K2:U2"/>
    <mergeCell ref="M4:T4"/>
    <mergeCell ref="N5:O5"/>
    <mergeCell ref="R5:U5"/>
    <mergeCell ref="O3:R3"/>
    <mergeCell ref="L6:U6"/>
    <mergeCell ref="L8:Q8"/>
    <mergeCell ref="T8:U8"/>
    <mergeCell ref="L15:U15"/>
    <mergeCell ref="S20:U20"/>
    <mergeCell ref="L9:U9"/>
    <mergeCell ref="L10:U10"/>
    <mergeCell ref="L11:N11"/>
    <mergeCell ref="L16:U16"/>
  </mergeCells>
  <conditionalFormatting sqref="J22:N22">
    <cfRule type="expression" dxfId="10" priority="3">
      <formula>$S$3="#3"</formula>
    </cfRule>
  </conditionalFormatting>
  <conditionalFormatting sqref="J21:U21">
    <cfRule type="expression" dxfId="9" priority="1">
      <formula>$S$3&lt;&gt;"#3"</formula>
    </cfRule>
  </conditionalFormatting>
  <conditionalFormatting sqref="K27:V27">
    <cfRule type="expression" dxfId="8" priority="2">
      <formula>$S$3="#3"</formula>
    </cfRule>
  </conditionalFormatting>
  <conditionalFormatting sqref="P22:U24">
    <cfRule type="expression" dxfId="7" priority="4">
      <formula>$S$3="#3"</formula>
    </cfRule>
  </conditionalFormatting>
  <printOptions horizontalCentered="1" verticalCentered="1"/>
  <pageMargins left="0.2" right="0.2" top="0.2" bottom="0.2" header="0.51" footer="0.51"/>
  <pageSetup scale="44" orientation="landscape" horizontalDpi="4294967292" verticalDpi="4294967292"/>
  <ignoredErrors>
    <ignoredError sqref="L20" unlockedFormula="1"/>
  </ignoredErrors>
  <drawing r:id="rId1"/>
</worksheet>
</file>

<file path=xl/worksheets/sheet5.xml><?xml version="1.0" encoding="utf-8"?>
<worksheet xmlns="http://purl.oclc.org/ooxml/spreadsheetml/main" xmlns:r="http://purl.oclc.org/ooxml/officeDocument/relationships" xmlns:v="urn:schemas-microsoft-com:vml"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6F177-8884-5D4F-9CF4-14229878B446}">
  <sheetPr>
    <pageSetUpPr fitToPage="1"/>
  </sheetPr>
  <dimension ref="A1:V40"/>
  <sheetViews>
    <sheetView showGridLines="0" topLeftCell="G1" zoomScale="92" zoomScaleNormal="92" zoomScalePageLayoutView="92" workbookViewId="0">
      <selection activeCell="L8" sqref="L8:Q8"/>
    </sheetView>
  </sheetViews>
  <sheetFormatPr baseColWidth="10" defaultColWidth="8.83203125" defaultRowHeight="13" x14ac:dyDescent="0.15"/>
  <cols>
    <col min="1" max="1" width="8.5" style="1" customWidth="1"/>
    <col min="2" max="3" width="11.6640625" customWidth="1"/>
    <col min="4" max="4" width="18" customWidth="1"/>
    <col min="5" max="5" width="23.83203125" customWidth="1"/>
    <col min="6" max="6" width="42" customWidth="1"/>
    <col min="7" max="7" width="13.5" customWidth="1"/>
    <col min="8" max="8" width="8" customWidth="1"/>
    <col min="9" max="9" width="12" customWidth="1"/>
    <col min="12" max="14" width="9" customWidth="1"/>
    <col min="18" max="18" width="8.83203125" customWidth="1"/>
    <col min="19" max="19" width="9" customWidth="1"/>
  </cols>
  <sheetData>
    <row r="1" spans="1:22" ht="21" thickBot="1" x14ac:dyDescent="0.2">
      <c r="A1" s="116" t="s">
        <v>74</v>
      </c>
      <c r="B1" s="116"/>
      <c r="C1" s="116"/>
      <c r="D1" s="116"/>
      <c r="E1" s="116"/>
      <c r="F1" s="116"/>
      <c r="G1" s="116"/>
      <c r="H1" s="24" t="s">
        <v>29</v>
      </c>
    </row>
    <row r="2" spans="1:22" ht="33.75" customHeight="1" thickBot="1" x14ac:dyDescent="0.25">
      <c r="A2" s="65" t="s">
        <v>30</v>
      </c>
      <c r="B2" s="9" t="s">
        <v>3</v>
      </c>
      <c r="C2" s="9" t="s">
        <v>4</v>
      </c>
      <c r="D2" s="9" t="s">
        <v>25</v>
      </c>
      <c r="E2" s="9" t="s">
        <v>31</v>
      </c>
      <c r="F2" s="9" t="s">
        <v>59</v>
      </c>
      <c r="G2" s="65" t="s">
        <v>32</v>
      </c>
      <c r="H2" s="24" t="s">
        <v>29</v>
      </c>
      <c r="K2" s="115" t="s">
        <v>55</v>
      </c>
      <c r="L2" s="115"/>
      <c r="M2" s="115"/>
      <c r="N2" s="115"/>
      <c r="O2" s="115"/>
      <c r="P2" s="115"/>
      <c r="Q2" s="115"/>
      <c r="R2" s="115"/>
      <c r="S2" s="115"/>
      <c r="T2" s="115"/>
      <c r="U2" s="115"/>
    </row>
    <row r="3" spans="1:22" ht="36" customHeight="1" x14ac:dyDescent="0.45">
      <c r="A3" s="25"/>
      <c r="B3" s="26" t="str">
        <f>'Control Entry'!N54</f>
        <v/>
      </c>
      <c r="C3" s="26" t="str">
        <f>'Control Entry'!O54</f>
        <v/>
      </c>
      <c r="D3" s="27"/>
      <c r="E3" s="28" t="str">
        <f>IF(ISBLANK('Control Entry'!F54),"",'Control Entry'!F54)</f>
        <v/>
      </c>
      <c r="F3" s="85" t="str">
        <f>IF(ISBLANK('Control Entry'!I54),"",'Control Entry'!I54)</f>
        <v/>
      </c>
      <c r="G3" s="86"/>
      <c r="H3" s="24" t="s">
        <v>29</v>
      </c>
      <c r="K3" s="14"/>
      <c r="O3" s="133" t="s">
        <v>73</v>
      </c>
      <c r="P3" s="133"/>
      <c r="Q3" s="133"/>
      <c r="R3" s="133"/>
      <c r="S3" s="75" t="str">
        <f>IF(AND('Control Entry'!D41=0,'Control Entry'!D54&lt;&gt;0),"#2",IF('Control Entry'!D54=0,"","#4"))</f>
        <v/>
      </c>
      <c r="T3" s="76"/>
      <c r="U3" s="38"/>
    </row>
    <row r="4" spans="1:22" ht="36" customHeight="1" x14ac:dyDescent="0.2">
      <c r="A4" s="34" t="str">
        <f>IF(ISBLANK('Control Entry'!D54),"",'Control Entry'!D54)</f>
        <v/>
      </c>
      <c r="B4" s="35" t="str">
        <f>'Control Entry'!N54</f>
        <v/>
      </c>
      <c r="C4" s="35" t="str">
        <f>'Control Entry'!O54</f>
        <v/>
      </c>
      <c r="D4" s="36" t="str">
        <f>IF(ISBLANK('Control Entry'!E54),"",'Control Entry'!E54)</f>
        <v/>
      </c>
      <c r="E4" s="28" t="str">
        <f>IF(ISBLANK('Control Entry'!G54),"",'Control Entry'!G54)</f>
        <v/>
      </c>
      <c r="F4" s="85" t="str">
        <f>IF(ISBLANK('Control Entry'!J54),"",'Control Entry'!J54)</f>
        <v/>
      </c>
      <c r="G4" s="86"/>
      <c r="H4" s="24" t="s">
        <v>29</v>
      </c>
      <c r="K4" s="14"/>
      <c r="M4" s="118" t="str">
        <f>IF(ISBLANK(brevet),"",brevet&amp;" km Randonnée")</f>
        <v>200 km Randonnée</v>
      </c>
      <c r="N4" s="118"/>
      <c r="O4" s="118"/>
      <c r="P4" s="118"/>
      <c r="Q4" s="118"/>
      <c r="R4" s="118"/>
      <c r="S4" s="118"/>
      <c r="T4" s="118"/>
      <c r="U4" s="39"/>
    </row>
    <row r="5" spans="1:22" ht="36" customHeight="1" thickBot="1" x14ac:dyDescent="0.25">
      <c r="A5" s="29"/>
      <c r="B5" s="30" t="str">
        <f>'Control Entry'!N54</f>
        <v/>
      </c>
      <c r="C5" s="30" t="str">
        <f>'Control Entry'!O54</f>
        <v/>
      </c>
      <c r="D5" s="31"/>
      <c r="E5" s="32" t="str">
        <f>IF(ISBLANK('Control Entry'!H54),"",'Control Entry'!H54)</f>
        <v/>
      </c>
      <c r="F5" s="89" t="str">
        <f>IF(ISBLANK('Control Entry'!K54),"",'Control Entry'!K54)</f>
        <v/>
      </c>
      <c r="G5" s="88"/>
      <c r="H5" s="24" t="s">
        <v>29</v>
      </c>
      <c r="K5" s="14"/>
      <c r="M5" s="15"/>
      <c r="N5" s="109" t="s">
        <v>47</v>
      </c>
      <c r="O5" s="109"/>
      <c r="P5" s="52">
        <f>IF(ISBLANK(Brevet_Number),"",Brevet_Number)</f>
        <v>5276</v>
      </c>
      <c r="Q5" s="53"/>
      <c r="R5" s="121" t="d">
        <f>IF(ISBLANK('Control Entry'!$B10),"",'Control Entry'!$B10)</f>
        <v>2023-08-19</v>
      </c>
      <c r="S5" s="121"/>
      <c r="T5" s="121"/>
      <c r="U5" s="121"/>
      <c r="V5" s="40"/>
    </row>
    <row r="6" spans="1:22" ht="36" customHeight="1" x14ac:dyDescent="0.2">
      <c r="A6" s="25"/>
      <c r="B6" s="26" t="str">
        <f>'Control Entry'!N55</f>
        <v/>
      </c>
      <c r="C6" s="26" t="str">
        <f>'Control Entry'!O55</f>
        <v/>
      </c>
      <c r="D6" s="33"/>
      <c r="E6" s="28" t="str">
        <f>IF(ISBLANK('Control Entry'!F55),"",'Control Entry'!F55)</f>
        <v/>
      </c>
      <c r="F6" s="85" t="str">
        <f>IF(ISBLANK('Control Entry'!I55),"",'Control Entry'!I55)</f>
        <v/>
      </c>
      <c r="G6" s="86"/>
      <c r="H6" s="24" t="s">
        <v>29</v>
      </c>
      <c r="K6" s="14"/>
      <c r="L6" s="136" t="str">
        <f>IF(ISBLANK(Brevet_Description),"",Brevet_Description)</f>
        <v>Coombs Cumberland Explorer</v>
      </c>
      <c r="M6" s="136"/>
      <c r="N6" s="136"/>
      <c r="O6" s="136"/>
      <c r="P6" s="136"/>
      <c r="Q6" s="136"/>
      <c r="R6" s="136"/>
      <c r="S6" s="136"/>
      <c r="T6" s="136"/>
      <c r="U6" s="136"/>
    </row>
    <row r="7" spans="1:22" ht="36" customHeight="1" x14ac:dyDescent="0.2">
      <c r="A7" s="34" t="str">
        <f>IF(ISBLANK('Control Entry'!D55),"",'Control Entry'!D55)</f>
        <v/>
      </c>
      <c r="B7" s="35" t="str">
        <f>'Control Entry'!N55</f>
        <v/>
      </c>
      <c r="C7" s="35" t="str">
        <f>'Control Entry'!O55</f>
        <v/>
      </c>
      <c r="D7" s="36" t="str">
        <f>IF(ISBLANK('Control Entry'!E55),"",'Control Entry'!E55)</f>
        <v/>
      </c>
      <c r="E7" s="28" t="str">
        <f>IF(ISBLANK('Control Entry'!G55),"",'Control Entry'!G55)</f>
        <v/>
      </c>
      <c r="F7" s="85" t="str">
        <f>IF(ISBLANK('Control Entry'!J55),"",'Control Entry'!J55)</f>
        <v/>
      </c>
      <c r="G7" s="86"/>
      <c r="H7" s="24" t="s">
        <v>29</v>
      </c>
    </row>
    <row r="8" spans="1:22" ht="36" customHeight="1" thickBot="1" x14ac:dyDescent="0.25">
      <c r="A8" s="29"/>
      <c r="B8" s="30" t="str">
        <f>'Control Entry'!N55</f>
        <v/>
      </c>
      <c r="C8" s="30" t="str">
        <f>'Control Entry'!O55</f>
        <v/>
      </c>
      <c r="D8" s="31"/>
      <c r="E8" s="32" t="str">
        <f>IF(ISBLANK('Control Entry'!H55),"",'Control Entry'!H55)</f>
        <v/>
      </c>
      <c r="F8" s="89" t="str">
        <f>IF(ISBLANK('Control Entry'!K55),"",'Control Entry'!K55)</f>
        <v/>
      </c>
      <c r="G8" s="88"/>
      <c r="H8" s="24" t="s">
        <v>29</v>
      </c>
      <c r="J8" s="15" t="s">
        <v>34</v>
      </c>
      <c r="L8" s="122"/>
      <c r="M8" s="122"/>
      <c r="N8" s="122"/>
      <c r="O8" s="122"/>
      <c r="P8" s="122"/>
      <c r="Q8" s="122"/>
      <c r="S8" s="41" t="s">
        <v>46</v>
      </c>
      <c r="T8" s="129"/>
      <c r="U8" s="129"/>
    </row>
    <row r="9" spans="1:22" ht="36" customHeight="1" thickBot="1" x14ac:dyDescent="0.3">
      <c r="A9" s="25"/>
      <c r="B9" s="26" t="str">
        <f>'Control Entry'!N56</f>
        <v/>
      </c>
      <c r="C9" s="26" t="str">
        <f>'Control Entry'!O56</f>
        <v/>
      </c>
      <c r="D9" s="33"/>
      <c r="E9" s="28" t="str">
        <f>IF(ISBLANK('Control Entry'!F56),"",'Control Entry'!F56)</f>
        <v/>
      </c>
      <c r="F9" s="85" t="str">
        <f>IF(ISBLANK('Control Entry'!I56),"",'Control Entry'!I56)</f>
        <v/>
      </c>
      <c r="G9" s="86"/>
      <c r="H9" s="24" t="s">
        <v>29</v>
      </c>
      <c r="J9" s="15" t="s">
        <v>35</v>
      </c>
      <c r="K9" s="15"/>
      <c r="L9" s="138" t="s">
        <v>54</v>
      </c>
      <c r="M9" s="138"/>
      <c r="N9" s="138"/>
      <c r="O9" s="138"/>
      <c r="P9" s="138"/>
      <c r="Q9" s="138"/>
      <c r="R9" s="138"/>
      <c r="S9" s="138"/>
      <c r="T9" s="138"/>
      <c r="U9" s="138"/>
    </row>
    <row r="10" spans="1:22" ht="36" customHeight="1" thickBot="1" x14ac:dyDescent="0.3">
      <c r="A10" s="34" t="str">
        <f>IF(ISBLANK('Control Entry'!D56),"",'Control Entry'!D56)</f>
        <v/>
      </c>
      <c r="B10" s="35" t="str">
        <f>'Control Entry'!N56</f>
        <v/>
      </c>
      <c r="C10" s="35" t="str">
        <f>'Control Entry'!O56</f>
        <v/>
      </c>
      <c r="D10" s="36" t="str">
        <f>IF(ISBLANK('Control Entry'!E56),"",'Control Entry'!E56)</f>
        <v/>
      </c>
      <c r="E10" s="28" t="str">
        <f>IF(ISBLANK('Control Entry'!G56),"",'Control Entry'!G56)</f>
        <v/>
      </c>
      <c r="F10" s="85" t="str">
        <f>IF(ISBLANK('Control Entry'!J56),"",'Control Entry'!J56)</f>
        <v/>
      </c>
      <c r="G10" s="86"/>
      <c r="H10" s="24" t="s">
        <v>29</v>
      </c>
      <c r="J10" s="15"/>
      <c r="K10" s="15"/>
      <c r="L10" s="131"/>
      <c r="M10" s="131"/>
      <c r="N10" s="131"/>
      <c r="O10" s="131"/>
      <c r="P10" s="131"/>
      <c r="Q10" s="131"/>
      <c r="R10" s="131"/>
      <c r="S10" s="131"/>
      <c r="T10" s="131"/>
      <c r="U10" s="131"/>
    </row>
    <row r="11" spans="1:22" ht="36" customHeight="1" thickBot="1" x14ac:dyDescent="0.3">
      <c r="A11" s="29"/>
      <c r="B11" s="30" t="str">
        <f>'Control Entry'!N56</f>
        <v/>
      </c>
      <c r="C11" s="30" t="str">
        <f>'Control Entry'!O56</f>
        <v/>
      </c>
      <c r="D11" s="31"/>
      <c r="E11" s="32" t="str">
        <f>IF(ISBLANK('Control Entry'!H56),"",'Control Entry'!H56)</f>
        <v/>
      </c>
      <c r="F11" s="89" t="str">
        <f>IF(ISBLANK('Control Entry'!K56),"",'Control Entry'!K56)</f>
        <v/>
      </c>
      <c r="G11" s="88"/>
      <c r="H11" s="24" t="s">
        <v>29</v>
      </c>
      <c r="J11" s="15" t="s">
        <v>36</v>
      </c>
      <c r="K11" s="15"/>
      <c r="L11" s="131"/>
      <c r="M11" s="131"/>
      <c r="N11" s="131"/>
      <c r="O11" s="15"/>
      <c r="P11" s="15" t="s">
        <v>37</v>
      </c>
      <c r="Q11" s="15"/>
      <c r="R11" s="15"/>
      <c r="S11" s="119"/>
      <c r="T11" s="119"/>
      <c r="U11" s="119"/>
    </row>
    <row r="12" spans="1:22" ht="36" customHeight="1" thickBot="1" x14ac:dyDescent="0.3">
      <c r="A12" s="25"/>
      <c r="B12" s="26" t="str">
        <f>'Control Entry'!N57</f>
        <v/>
      </c>
      <c r="C12" s="26" t="str">
        <f>'Control Entry'!O57</f>
        <v/>
      </c>
      <c r="D12" s="33"/>
      <c r="E12" s="28" t="str">
        <f>IF(ISBLANK('Control Entry'!F57),"",'Control Entry'!F57)</f>
        <v/>
      </c>
      <c r="F12" s="85" t="str">
        <f>IF(ISBLANK('Control Entry'!I57),"",'Control Entry'!I57)</f>
        <v/>
      </c>
      <c r="G12" s="86"/>
      <c r="H12" s="24" t="s">
        <v>29</v>
      </c>
      <c r="J12" s="15" t="s">
        <v>38</v>
      </c>
      <c r="K12" s="15"/>
      <c r="L12" s="131"/>
      <c r="M12" s="131"/>
      <c r="N12" s="131"/>
      <c r="O12" s="15"/>
      <c r="P12" s="15" t="s">
        <v>39</v>
      </c>
      <c r="Q12" s="15"/>
      <c r="R12" s="15"/>
      <c r="S12" s="119"/>
      <c r="T12" s="119"/>
      <c r="U12" s="119"/>
    </row>
    <row r="13" spans="1:22" ht="36" customHeight="1" thickBot="1" x14ac:dyDescent="0.3">
      <c r="A13" s="34" t="str">
        <f>IF(ISBLANK('Control Entry'!D57),"",'Control Entry'!D57)</f>
        <v/>
      </c>
      <c r="B13" s="35" t="str">
        <f>'Control Entry'!N57</f>
        <v/>
      </c>
      <c r="C13" s="35" t="str">
        <f>'Control Entry'!O57</f>
        <v/>
      </c>
      <c r="D13" s="36" t="str">
        <f>IF(ISBLANK('Control Entry'!E57),"",'Control Entry'!E57)</f>
        <v/>
      </c>
      <c r="E13" s="28" t="str">
        <f>IF(ISBLANK('Control Entry'!G57),"",'Control Entry'!G57)</f>
        <v/>
      </c>
      <c r="F13" s="85" t="str">
        <f>IF(ISBLANK('Control Entry'!J57),"",'Control Entry'!J57)</f>
        <v/>
      </c>
      <c r="G13" s="86"/>
      <c r="H13" s="24" t="s">
        <v>29</v>
      </c>
      <c r="J13" s="15" t="s">
        <v>40</v>
      </c>
      <c r="L13" s="141"/>
      <c r="M13" s="141"/>
      <c r="N13" s="141"/>
      <c r="P13" s="15" t="s">
        <v>41</v>
      </c>
      <c r="Q13" s="15"/>
      <c r="R13" s="120"/>
      <c r="S13" s="120"/>
      <c r="T13" s="120"/>
      <c r="U13" s="120"/>
    </row>
    <row r="14" spans="1:22" ht="36" customHeight="1" thickBot="1" x14ac:dyDescent="0.25">
      <c r="A14" s="29"/>
      <c r="B14" s="30" t="str">
        <f>'Control Entry'!N57</f>
        <v/>
      </c>
      <c r="C14" s="30" t="str">
        <f>'Control Entry'!O57</f>
        <v/>
      </c>
      <c r="D14" s="31"/>
      <c r="E14" s="32" t="str">
        <f>IF(ISBLANK('Control Entry'!H57),"",'Control Entry'!H57)</f>
        <v/>
      </c>
      <c r="F14" s="89" t="str">
        <f>IF(ISBLANK('Control Entry'!K57),"",'Control Entry'!K57)</f>
        <v/>
      </c>
      <c r="G14" s="88"/>
      <c r="H14" s="24" t="s">
        <v>29</v>
      </c>
    </row>
    <row r="15" spans="1:22" ht="36" customHeight="1" x14ac:dyDescent="0.2">
      <c r="A15" s="25"/>
      <c r="B15" s="26" t="str">
        <f>'Control Entry'!N58</f>
        <v/>
      </c>
      <c r="C15" s="26" t="str">
        <f>'Control Entry'!O58</f>
        <v/>
      </c>
      <c r="D15" s="33"/>
      <c r="E15" s="28" t="str">
        <f>IF(ISBLANK('Control Entry'!F58),"",'Control Entry'!F58)</f>
        <v/>
      </c>
      <c r="F15" s="85" t="str">
        <f>IF(ISBLANK('Control Entry'!I58),"",'Control Entry'!I58)</f>
        <v/>
      </c>
      <c r="G15" s="86"/>
      <c r="H15" s="24" t="s">
        <v>29</v>
      </c>
      <c r="J15" s="15"/>
      <c r="L15" s="135" t="s">
        <v>58</v>
      </c>
      <c r="M15" s="135"/>
      <c r="N15" s="135"/>
      <c r="O15" s="135"/>
      <c r="P15" s="135"/>
      <c r="Q15" s="135"/>
      <c r="R15" s="135"/>
      <c r="S15" s="135"/>
      <c r="T15" s="135"/>
      <c r="U15" s="135"/>
    </row>
    <row r="16" spans="1:22" ht="36" customHeight="1" thickBot="1" x14ac:dyDescent="0.25">
      <c r="A16" s="34" t="str">
        <f>IF(ISBLANK('Control Entry'!D58),"",'Control Entry'!D58)</f>
        <v/>
      </c>
      <c r="B16" s="35" t="str">
        <f>'Control Entry'!N58</f>
        <v/>
      </c>
      <c r="C16" s="35" t="str">
        <f>'Control Entry'!O58</f>
        <v/>
      </c>
      <c r="D16" s="36" t="str">
        <f>IF(ISBLANK('Control Entry'!E58),"",'Control Entry'!E58)</f>
        <v/>
      </c>
      <c r="E16" s="28" t="str">
        <f>IF(ISBLANK('Control Entry'!G58),"",'Control Entry'!G58)</f>
        <v/>
      </c>
      <c r="F16" s="85" t="str">
        <f>IF(ISBLANK('Control Entry'!J58),"",'Control Entry'!J58)</f>
        <v/>
      </c>
      <c r="G16" s="86"/>
      <c r="H16" s="24" t="s">
        <v>29</v>
      </c>
      <c r="L16" s="143"/>
      <c r="M16" s="143"/>
      <c r="N16" s="143"/>
      <c r="O16" s="143"/>
      <c r="P16" s="143"/>
      <c r="Q16" s="143"/>
      <c r="R16" s="143"/>
      <c r="S16" s="143"/>
      <c r="T16" s="143"/>
      <c r="U16" s="143"/>
    </row>
    <row r="17" spans="1:22" ht="36" customHeight="1" thickBot="1" x14ac:dyDescent="0.25">
      <c r="A17" s="29"/>
      <c r="B17" s="30" t="str">
        <f>'Control Entry'!N58</f>
        <v/>
      </c>
      <c r="C17" s="30" t="str">
        <f>'Control Entry'!O58</f>
        <v/>
      </c>
      <c r="D17" s="31"/>
      <c r="E17" s="32" t="str">
        <f>IF(ISBLANK('Control Entry'!H58),"",'Control Entry'!H58)</f>
        <v/>
      </c>
      <c r="F17" s="89" t="str">
        <f>IF(ISBLANK('Control Entry'!K58),"",'Control Entry'!K58)</f>
        <v/>
      </c>
      <c r="G17" s="88"/>
      <c r="H17" s="24" t="s">
        <v>29</v>
      </c>
    </row>
    <row r="18" spans="1:22" ht="36" customHeight="1" x14ac:dyDescent="0.2">
      <c r="A18" s="25"/>
      <c r="B18" s="26" t="str">
        <f>'Control Entry'!N59</f>
        <v/>
      </c>
      <c r="C18" s="26" t="str">
        <f>'Control Entry'!O59</f>
        <v/>
      </c>
      <c r="D18" s="33"/>
      <c r="E18" s="28" t="str">
        <f>IF(ISBLANK('Control Entry'!F59),"",'Control Entry'!F59)</f>
        <v/>
      </c>
      <c r="F18" s="85" t="str">
        <f>IF(ISBLANK('Control Entry'!I59),"",'Control Entry'!I59)</f>
        <v/>
      </c>
      <c r="G18" s="86"/>
      <c r="H18" s="24" t="s">
        <v>29</v>
      </c>
    </row>
    <row r="19" spans="1:22" ht="36" customHeight="1" x14ac:dyDescent="0.2">
      <c r="A19" s="34" t="str">
        <f>IF(ISBLANK('Control Entry'!D59),"",'Control Entry'!D59)</f>
        <v/>
      </c>
      <c r="B19" s="35" t="str">
        <f>'Control Entry'!N59</f>
        <v/>
      </c>
      <c r="C19" s="35" t="str">
        <f>'Control Entry'!O59</f>
        <v/>
      </c>
      <c r="D19" s="36" t="str">
        <f>IF(ISBLANK('Control Entry'!E59),"",'Control Entry'!E59)</f>
        <v/>
      </c>
      <c r="E19" s="28" t="str">
        <f>IF(ISBLANK('Control Entry'!G59),"",'Control Entry'!G59)</f>
        <v/>
      </c>
      <c r="F19" s="85" t="str">
        <f>IF(ISBLANK('Control Entry'!J59),"",'Control Entry'!J59)</f>
        <v/>
      </c>
      <c r="G19" s="86"/>
      <c r="H19" s="24" t="s">
        <v>29</v>
      </c>
    </row>
    <row r="20" spans="1:22" ht="36" customHeight="1" thickBot="1" x14ac:dyDescent="0.25">
      <c r="A20" s="29"/>
      <c r="B20" s="30" t="str">
        <f>'Control Entry'!N59</f>
        <v/>
      </c>
      <c r="C20" s="30" t="str">
        <f>'Control Entry'!O59</f>
        <v/>
      </c>
      <c r="D20" s="31"/>
      <c r="E20" s="32" t="str">
        <f>IF(ISBLANK('Control Entry'!H59),"",'Control Entry'!H59)</f>
        <v/>
      </c>
      <c r="F20" s="89" t="str">
        <f>IF(ISBLANK('Control Entry'!K59),"",'Control Entry'!K59)</f>
        <v/>
      </c>
      <c r="G20" s="88"/>
      <c r="H20" s="24" t="s">
        <v>29</v>
      </c>
      <c r="J20" s="50" t="s">
        <v>44</v>
      </c>
      <c r="K20" s="50"/>
      <c r="L20" s="130" t="d">
        <f>IF(ISBLANK('Control Entry'!B12),"",'Control Entry'!B12)</f>
        <v>2023-08-19</v>
      </c>
      <c r="M20" s="130"/>
      <c r="N20" s="130"/>
      <c r="P20" s="15" t="s">
        <v>0</v>
      </c>
      <c r="Q20" s="15"/>
      <c r="S20" s="134" t="d">
        <f>IF(ISBLANK('Control Entry'!B13),"",'Control Entry'!B13)</f>
        <v>07:00:00.0000000000015975</v>
      </c>
      <c r="T20" s="134"/>
      <c r="U20" s="134"/>
    </row>
    <row r="21" spans="1:22" ht="36" customHeight="1" x14ac:dyDescent="0.2">
      <c r="A21" s="25"/>
      <c r="B21" s="26" t="str">
        <f>'Control Entry'!N60</f>
        <v/>
      </c>
      <c r="C21" s="26" t="str">
        <f>'Control Entry'!O60</f>
        <v/>
      </c>
      <c r="D21" s="33"/>
      <c r="E21" s="28" t="str">
        <f>IF(ISBLANK('Control Entry'!F60),"",'Control Entry'!F60)</f>
        <v/>
      </c>
      <c r="F21" s="85" t="str">
        <f>IF(ISBLANK('Control Entry'!I60),"",'Control Entry'!I60)</f>
        <v/>
      </c>
      <c r="G21" s="86"/>
      <c r="H21" s="24" t="s">
        <v>29</v>
      </c>
      <c r="J21" s="136" t="s">
        <v>90</v>
      </c>
      <c r="K21" s="136"/>
      <c r="L21" s="136"/>
      <c r="M21" s="136"/>
      <c r="N21" s="136"/>
      <c r="O21" s="136"/>
      <c r="P21" s="136"/>
      <c r="Q21" s="136"/>
      <c r="R21" s="136"/>
      <c r="S21" s="136"/>
      <c r="T21" s="136"/>
      <c r="U21" s="136"/>
    </row>
    <row r="22" spans="1:22" ht="36" customHeight="1" thickBot="1" x14ac:dyDescent="0.25">
      <c r="A22" s="34" t="str">
        <f>IF(ISBLANK('Control Entry'!D60),"",'Control Entry'!D60)</f>
        <v/>
      </c>
      <c r="B22" s="35" t="str">
        <f>'Control Entry'!N60</f>
        <v/>
      </c>
      <c r="C22" s="35" t="str">
        <f>'Control Entry'!O60</f>
        <v/>
      </c>
      <c r="D22" s="36" t="str">
        <f>IF(ISBLANK('Control Entry'!E60),"",'Control Entry'!E60)</f>
        <v/>
      </c>
      <c r="E22" s="28" t="str">
        <f>IF(ISBLANK('Control Entry'!G60),"",'Control Entry'!G60)</f>
        <v/>
      </c>
      <c r="F22" s="85" t="str">
        <f>IF(ISBLANK('Control Entry'!J60),"",'Control Entry'!J60)</f>
        <v/>
      </c>
      <c r="G22" s="86"/>
      <c r="H22" s="24" t="s">
        <v>29</v>
      </c>
      <c r="J22" s="15" t="s">
        <v>45</v>
      </c>
      <c r="K22" s="15"/>
      <c r="M22" s="137"/>
      <c r="N22" s="137"/>
      <c r="O22" s="137"/>
      <c r="P22" s="15" t="s">
        <v>1</v>
      </c>
      <c r="Q22" s="15"/>
      <c r="S22" s="137"/>
      <c r="T22" s="137"/>
      <c r="U22" s="137"/>
    </row>
    <row r="23" spans="1:22" ht="36" customHeight="1" thickBot="1" x14ac:dyDescent="0.25">
      <c r="A23" s="29"/>
      <c r="B23" s="30" t="str">
        <f>'Control Entry'!N60</f>
        <v/>
      </c>
      <c r="C23" s="30" t="str">
        <f>'Control Entry'!O60</f>
        <v/>
      </c>
      <c r="D23" s="31"/>
      <c r="E23" s="32" t="str">
        <f>IF(ISBLANK('Control Entry'!H60),"",'Control Entry'!H60)</f>
        <v/>
      </c>
      <c r="F23" s="89" t="str">
        <f>IF(ISBLANK('Control Entry'!K60),"",'Control Entry'!K60)</f>
        <v/>
      </c>
      <c r="G23" s="88"/>
      <c r="H23" s="24" t="s">
        <v>29</v>
      </c>
      <c r="J23" s="50"/>
      <c r="K23" s="50"/>
      <c r="L23" s="44"/>
      <c r="M23" s="44"/>
      <c r="N23" s="44"/>
      <c r="P23" s="15"/>
      <c r="Q23" s="15"/>
    </row>
    <row r="24" spans="1:22" ht="36" customHeight="1" thickBot="1" x14ac:dyDescent="0.25">
      <c r="A24" s="25"/>
      <c r="B24" s="26" t="str">
        <f>'Control Entry'!N61</f>
        <v/>
      </c>
      <c r="C24" s="26" t="str">
        <f>'Control Entry'!O61</f>
        <v/>
      </c>
      <c r="D24" s="33"/>
      <c r="E24" s="28" t="str">
        <f>IF(ISBLANK('Control Entry'!F61),"",'Control Entry'!F61)</f>
        <v/>
      </c>
      <c r="F24" s="85" t="str">
        <f>IF(ISBLANK('Control Entry'!I61),"",'Control Entry'!I61)</f>
        <v/>
      </c>
      <c r="G24" s="86"/>
      <c r="H24" s="24" t="s">
        <v>29</v>
      </c>
      <c r="J24" s="137"/>
      <c r="K24" s="137"/>
      <c r="L24" s="137"/>
      <c r="M24" s="137"/>
      <c r="N24" s="137"/>
      <c r="P24" s="15" t="s">
        <v>2</v>
      </c>
      <c r="Q24" s="15"/>
      <c r="S24" s="137"/>
      <c r="T24" s="137"/>
      <c r="U24" s="137"/>
    </row>
    <row r="25" spans="1:22" ht="36" customHeight="1" x14ac:dyDescent="0.2">
      <c r="A25" s="34" t="str">
        <f>IF(ISBLANK('Control Entry'!D61),"",'Control Entry'!D61)</f>
        <v/>
      </c>
      <c r="B25" s="35" t="str">
        <f>'Control Entry'!N61</f>
        <v/>
      </c>
      <c r="C25" s="35" t="str">
        <f>'Control Entry'!O61</f>
        <v/>
      </c>
      <c r="D25" s="36" t="str">
        <f>IF(ISBLANK('Control Entry'!E61),"",'Control Entry'!E61)</f>
        <v/>
      </c>
      <c r="E25" s="28" t="str">
        <f>IF(ISBLANK('Control Entry'!G61),"",'Control Entry'!G61)</f>
        <v/>
      </c>
      <c r="F25" s="85" t="str">
        <f>IF(ISBLANK('Control Entry'!J61),"",'Control Entry'!J61)</f>
        <v/>
      </c>
      <c r="G25" s="86"/>
      <c r="H25" s="24" t="s">
        <v>29</v>
      </c>
      <c r="J25" s="132" t="s">
        <v>17</v>
      </c>
      <c r="K25" s="132"/>
      <c r="L25" s="132"/>
      <c r="M25" s="132"/>
      <c r="N25" s="132"/>
      <c r="O25" s="46"/>
      <c r="P25" s="111"/>
      <c r="Q25" s="111"/>
      <c r="R25" s="46"/>
      <c r="S25" s="109"/>
      <c r="T25" s="109"/>
      <c r="U25" s="109"/>
      <c r="V25" s="109"/>
    </row>
    <row r="26" spans="1:22" ht="36" customHeight="1" thickBot="1" x14ac:dyDescent="0.25">
      <c r="A26" s="29"/>
      <c r="B26" s="30" t="str">
        <f>'Control Entry'!N61</f>
        <v/>
      </c>
      <c r="C26" s="30" t="str">
        <f>'Control Entry'!O61</f>
        <v/>
      </c>
      <c r="D26" s="31"/>
      <c r="E26" s="32" t="str">
        <f>IF(ISBLANK('Control Entry'!H61),"",'Control Entry'!H61)</f>
        <v/>
      </c>
      <c r="F26" s="89" t="str">
        <f>IF(ISBLANK('Control Entry'!K61),"",'Control Entry'!K61)</f>
        <v/>
      </c>
      <c r="G26" s="88"/>
      <c r="H26" s="24" t="s">
        <v>29</v>
      </c>
    </row>
    <row r="27" spans="1:22" ht="36" customHeight="1" x14ac:dyDescent="0.2">
      <c r="A27" s="25"/>
      <c r="B27" s="26" t="str">
        <f>'Control Entry'!N62</f>
        <v/>
      </c>
      <c r="C27" s="26" t="str">
        <f>'Control Entry'!O62</f>
        <v/>
      </c>
      <c r="D27" s="33"/>
      <c r="E27" s="28" t="str">
        <f>IF(ISBLANK('Control Entry'!F62),"",'Control Entry'!F62)</f>
        <v/>
      </c>
      <c r="F27" s="85" t="str">
        <f>IF(ISBLANK('Control Entry'!I62),"",'Control Entry'!I62)</f>
        <v/>
      </c>
      <c r="G27" s="86"/>
      <c r="H27" s="24" t="s">
        <v>29</v>
      </c>
      <c r="K27" s="118" t="s">
        <v>56</v>
      </c>
      <c r="L27" s="111"/>
      <c r="M27" s="45" t="s">
        <v>57</v>
      </c>
      <c r="N27" s="111" t="s">
        <v>49</v>
      </c>
      <c r="O27" s="111"/>
      <c r="P27" s="111" t="s">
        <v>50</v>
      </c>
      <c r="Q27" s="111"/>
      <c r="R27" s="46" t="s">
        <v>51</v>
      </c>
      <c r="S27" s="109" t="s">
        <v>52</v>
      </c>
      <c r="T27" s="109"/>
      <c r="U27" s="109" t="s">
        <v>53</v>
      </c>
      <c r="V27" s="109"/>
    </row>
    <row r="28" spans="1:22" ht="36" customHeight="1" x14ac:dyDescent="0.2">
      <c r="A28" s="34" t="str">
        <f>IF(ISBLANK('Control Entry'!D62),"",'Control Entry'!D62)</f>
        <v/>
      </c>
      <c r="B28" s="35" t="str">
        <f>'Control Entry'!N62</f>
        <v/>
      </c>
      <c r="C28" s="35" t="str">
        <f>'Control Entry'!O62</f>
        <v/>
      </c>
      <c r="D28" s="36" t="str">
        <f>IF(ISBLANK('Control Entry'!E62),"",'Control Entry'!E62)</f>
        <v/>
      </c>
      <c r="E28" s="28" t="str">
        <f>IF(ISBLANK('Control Entry'!G62),"",'Control Entry'!G62)</f>
        <v/>
      </c>
      <c r="F28" s="85" t="str">
        <f>IF(ISBLANK('Control Entry'!J62),"",'Control Entry'!J62)</f>
        <v/>
      </c>
      <c r="G28" s="86"/>
      <c r="H28" s="24" t="s">
        <v>29</v>
      </c>
    </row>
    <row r="29" spans="1:22" ht="36" customHeight="1" thickBot="1" x14ac:dyDescent="0.25">
      <c r="A29" s="29"/>
      <c r="B29" s="30" t="str">
        <f>'Control Entry'!N62</f>
        <v/>
      </c>
      <c r="C29" s="30" t="str">
        <f>'Control Entry'!O62</f>
        <v/>
      </c>
      <c r="D29" s="31"/>
      <c r="E29" s="32" t="str">
        <f>IF(ISBLANK('Control Entry'!H62),"",'Control Entry'!H62)</f>
        <v/>
      </c>
      <c r="F29" s="89" t="str">
        <f>IF(ISBLANK('Control Entry'!K62),"",'Control Entry'!K62)</f>
        <v/>
      </c>
      <c r="G29" s="88"/>
      <c r="H29" s="24" t="s">
        <v>29</v>
      </c>
      <c r="M29" s="110" t="s">
        <v>42</v>
      </c>
      <c r="N29" s="110"/>
      <c r="O29" s="110"/>
      <c r="P29" s="110"/>
      <c r="Q29" s="110"/>
      <c r="R29" s="110"/>
      <c r="S29" s="110"/>
      <c r="T29" s="110"/>
      <c r="U29" s="49"/>
    </row>
    <row r="30" spans="1:22" ht="36" customHeight="1" x14ac:dyDescent="0.2">
      <c r="A30" s="25"/>
      <c r="B30" s="26" t="str">
        <f>'Control Entry'!N63</f>
        <v/>
      </c>
      <c r="C30" s="26" t="str">
        <f>'Control Entry'!O63</f>
        <v/>
      </c>
      <c r="D30" s="33"/>
      <c r="E30" s="28" t="str">
        <f>IF(ISBLANK('Control Entry'!F63),"",'Control Entry'!F63)</f>
        <v/>
      </c>
      <c r="F30" s="85" t="str">
        <f>IF(ISBLANK('Control Entry'!I63),"",'Control Entry'!I63)</f>
        <v/>
      </c>
      <c r="G30" s="86"/>
      <c r="H30" s="24" t="s">
        <v>29</v>
      </c>
      <c r="M30" s="16"/>
      <c r="N30" s="18"/>
      <c r="O30" s="18"/>
      <c r="P30" s="19"/>
      <c r="Q30" s="16"/>
      <c r="R30" s="18"/>
      <c r="S30" s="18"/>
      <c r="T30" s="19"/>
    </row>
    <row r="31" spans="1:22" ht="36" customHeight="1" x14ac:dyDescent="0.2">
      <c r="A31" s="34" t="str">
        <f>IF(ISBLANK('Control Entry'!D63),"",'Control Entry'!D63)</f>
        <v/>
      </c>
      <c r="B31" s="35" t="str">
        <f>'Control Entry'!N63</f>
        <v/>
      </c>
      <c r="C31" s="35" t="str">
        <f>'Control Entry'!O63</f>
        <v/>
      </c>
      <c r="D31" s="36" t="str">
        <f>IF(ISBLANK('Control Entry'!E63),"",'Control Entry'!E63)</f>
        <v/>
      </c>
      <c r="E31" s="28" t="str">
        <f>IF(ISBLANK('Control Entry'!G63),"",'Control Entry'!G63)</f>
        <v/>
      </c>
      <c r="F31" s="85" t="str">
        <f>IF(ISBLANK('Control Entry'!J63),"",'Control Entry'!J63)</f>
        <v/>
      </c>
      <c r="G31" s="86"/>
      <c r="H31" s="24" t="s">
        <v>29</v>
      </c>
      <c r="M31" s="17"/>
      <c r="P31" s="20"/>
      <c r="Q31" s="17"/>
      <c r="T31" s="20"/>
    </row>
    <row r="32" spans="1:22" ht="36" customHeight="1" thickBot="1" x14ac:dyDescent="0.25">
      <c r="A32" s="29"/>
      <c r="B32" s="30" t="str">
        <f>'Control Entry'!N63</f>
        <v/>
      </c>
      <c r="C32" s="30" t="str">
        <f>'Control Entry'!O63</f>
        <v/>
      </c>
      <c r="D32" s="31"/>
      <c r="E32" s="32" t="str">
        <f>IF(ISBLANK('Control Entry'!H63),"",'Control Entry'!H63)</f>
        <v/>
      </c>
      <c r="F32" s="89" t="str">
        <f>IF(ISBLANK('Control Entry'!K63),"",'Control Entry'!K63)</f>
        <v/>
      </c>
      <c r="G32" s="88"/>
      <c r="H32" s="24" t="s">
        <v>29</v>
      </c>
      <c r="M32" s="123" t="s">
        <v>82</v>
      </c>
      <c r="N32" s="124"/>
      <c r="O32" s="124"/>
      <c r="P32" s="125"/>
      <c r="Q32" s="126" t="d">
        <f>'Control Entry'!B3</f>
        <v>2022-11-09</v>
      </c>
      <c r="R32" s="127"/>
      <c r="S32" s="127"/>
      <c r="T32" s="128"/>
    </row>
    <row r="33" spans="1:22" ht="36" customHeight="1" x14ac:dyDescent="0.2">
      <c r="A33" s="117" t="s">
        <v>43</v>
      </c>
      <c r="B33" s="117"/>
      <c r="C33" s="117"/>
      <c r="D33" s="117"/>
      <c r="E33" s="117"/>
      <c r="F33" s="117"/>
      <c r="G33" s="117"/>
      <c r="H33" s="37"/>
      <c r="I33" s="37"/>
      <c r="M33" s="112" t="s">
        <v>86</v>
      </c>
      <c r="N33" s="113"/>
      <c r="O33" s="113"/>
      <c r="P33" s="113"/>
      <c r="Q33" s="114" t="d">
        <f>'Control Entry'!B4</f>
        <v>2023-08-14</v>
      </c>
      <c r="R33" s="115"/>
      <c r="S33" s="115"/>
      <c r="T33" s="115"/>
      <c r="U33" s="82"/>
      <c r="V33" s="44"/>
    </row>
    <row r="34" spans="1:22" ht="36" customHeight="1" x14ac:dyDescent="0.2">
      <c r="A34"/>
      <c r="O34" s="15"/>
      <c r="P34" s="15"/>
      <c r="Q34" s="15"/>
      <c r="R34" s="42"/>
    </row>
    <row r="35" spans="1:22" ht="36" customHeight="1" x14ac:dyDescent="0.2">
      <c r="A35"/>
      <c r="N35" s="110"/>
      <c r="O35" s="110"/>
      <c r="P35" s="110"/>
      <c r="Q35" s="110"/>
      <c r="R35" s="110"/>
      <c r="S35" s="110"/>
      <c r="T35" s="110"/>
      <c r="U35" s="110"/>
    </row>
    <row r="36" spans="1:22" ht="36" customHeight="1" x14ac:dyDescent="0.15">
      <c r="A36"/>
    </row>
    <row r="37" spans="1:22" ht="36" customHeight="1" x14ac:dyDescent="0.15">
      <c r="A37"/>
    </row>
    <row r="38" spans="1:22" ht="36" customHeight="1" x14ac:dyDescent="0.2">
      <c r="A38"/>
      <c r="N38" s="15"/>
    </row>
    <row r="39" spans="1:22" ht="36" customHeight="1" x14ac:dyDescent="0.15">
      <c r="A39"/>
    </row>
    <row r="40" spans="1:22" ht="36" customHeight="1" x14ac:dyDescent="0.15">
      <c r="A40"/>
    </row>
  </sheetData>
  <sheetProtection algorithmName="SHA-512" hashValue="m+5DxS5z0jGPz2enrJCRgFwjkf0y6S+KVRFuN1IjzuBtg7DxgRkCvJA9CD6YWcWRfvJNtgkjCl2dSguY7geJVQ==" saltValue="ged3XotTQX8HcL4AYG6aUg==" spinCount="100000" sheet="1" objects="1" scenarios="1" formatCells="0" selectLockedCells="1"/>
  <mergeCells count="42">
    <mergeCell ref="J21:U21"/>
    <mergeCell ref="L11:N11"/>
    <mergeCell ref="S11:U11"/>
    <mergeCell ref="A1:G1"/>
    <mergeCell ref="K2:U2"/>
    <mergeCell ref="O3:R3"/>
    <mergeCell ref="M4:T4"/>
    <mergeCell ref="N5:O5"/>
    <mergeCell ref="R5:U5"/>
    <mergeCell ref="L6:U6"/>
    <mergeCell ref="L8:Q8"/>
    <mergeCell ref="T8:U8"/>
    <mergeCell ref="L9:U9"/>
    <mergeCell ref="L10:U10"/>
    <mergeCell ref="J25:N25"/>
    <mergeCell ref="P25:Q25"/>
    <mergeCell ref="S25:T25"/>
    <mergeCell ref="U25:V25"/>
    <mergeCell ref="L12:N12"/>
    <mergeCell ref="S12:U12"/>
    <mergeCell ref="L13:N13"/>
    <mergeCell ref="R13:U13"/>
    <mergeCell ref="L15:U15"/>
    <mergeCell ref="L16:U16"/>
    <mergeCell ref="L20:N20"/>
    <mergeCell ref="S20:U20"/>
    <mergeCell ref="S22:U22"/>
    <mergeCell ref="J24:N24"/>
    <mergeCell ref="S24:U24"/>
    <mergeCell ref="M22:O22"/>
    <mergeCell ref="A33:G33"/>
    <mergeCell ref="M33:P33"/>
    <mergeCell ref="Q33:T33"/>
    <mergeCell ref="N35:U35"/>
    <mergeCell ref="K27:L27"/>
    <mergeCell ref="N27:O27"/>
    <mergeCell ref="P27:Q27"/>
    <mergeCell ref="S27:T27"/>
    <mergeCell ref="U27:V27"/>
    <mergeCell ref="M29:T29"/>
    <mergeCell ref="M32:P32"/>
    <mergeCell ref="Q32:T32"/>
  </mergeCells>
  <conditionalFormatting sqref="J22:O22">
    <cfRule type="expression" dxfId="6" priority="3">
      <formula>$S$3="#2"</formula>
    </cfRule>
    <cfRule type="expression" dxfId="5" priority="4">
      <formula>$S$3="#4"</formula>
    </cfRule>
  </conditionalFormatting>
  <conditionalFormatting sqref="J21:U21">
    <cfRule type="expression" dxfId="4" priority="2">
      <formula>AND($S$3&lt;&gt;"#2",$S$3&lt;&gt;"#4")</formula>
    </cfRule>
  </conditionalFormatting>
  <conditionalFormatting sqref="K27:V27">
    <cfRule type="expression" dxfId="3" priority="7">
      <formula>$S$3="#2"</formula>
    </cfRule>
    <cfRule type="expression" dxfId="2" priority="8">
      <formula>$S$3="#4"</formula>
    </cfRule>
  </conditionalFormatting>
  <conditionalFormatting sqref="P22:U24">
    <cfRule type="expression" dxfId="1" priority="5">
      <formula>$S$3="#2"</formula>
    </cfRule>
    <cfRule type="expression" dxfId="0" priority="6">
      <formula>$S$3="#4"</formula>
    </cfRule>
  </conditionalFormatting>
  <printOptions horizontalCentered="1" verticalCentered="1"/>
  <pageMargins left="0.2" right="0.2" top="0.2" bottom="0.2" header="0.51" footer="0.51"/>
  <pageSetup scale="44" orientation="landscape" horizontalDpi="4294967292" verticalDpi="4294967292"/>
  <drawing r:id="rId1"/>
</worksheet>
</file>

<file path=docProps/app.xml><?xml version="1.0" encoding="utf-8"?>
<Properties xmlns="http://purl.oclc.org/ooxml/officeDocument/extendedProperties" xmlns:vt="http://purl.oclc.org/ooxml/officeDocument/docPropsVTypes">
  <Application>Microsoft Macintosh Excel</Application>
  <DocSecurity>0</DocSecurity>
  <ScaleCrop>false</ScaleCrop>
  <HeadingPairs>
    <vt:vector size="4" baseType="variant">
      <vt:variant>
        <vt:lpstr>Worksheets</vt:lpstr>
      </vt:variant>
      <vt:variant>
        <vt:i4>5</vt:i4>
      </vt:variant>
      <vt:variant>
        <vt:lpstr>Named Ranges</vt:lpstr>
      </vt:variant>
      <vt:variant>
        <vt:i4>30</vt:i4>
      </vt:variant>
    </vt:vector>
  </HeadingPairs>
  <TitlesOfParts>
    <vt:vector size="35" baseType="lpstr">
      <vt:lpstr>Control Entry</vt:lpstr>
      <vt:lpstr>Control Card #1</vt:lpstr>
      <vt:lpstr>Control Card #2</vt:lpstr>
      <vt:lpstr>Control Card #3</vt:lpstr>
      <vt:lpstr>Control Card #4</vt:lpstr>
      <vt:lpstr>brevet</vt:lpstr>
      <vt:lpstr>Brevet_Description</vt:lpstr>
      <vt:lpstr>Brevet_Length</vt:lpstr>
      <vt:lpstr>Brevet_Number</vt:lpstr>
      <vt:lpstr>Close</vt:lpstr>
      <vt:lpstr>Close_time</vt:lpstr>
      <vt:lpstr>Control_1</vt:lpstr>
      <vt:lpstr>Control_10</vt:lpstr>
      <vt:lpstr>Control_2</vt:lpstr>
      <vt:lpstr>Control_3</vt:lpstr>
      <vt:lpstr>Control_4</vt:lpstr>
      <vt:lpstr>Control_5</vt:lpstr>
      <vt:lpstr>Control_6</vt:lpstr>
      <vt:lpstr>Control_7</vt:lpstr>
      <vt:lpstr>Control_8</vt:lpstr>
      <vt:lpstr>Control_9</vt:lpstr>
      <vt:lpstr>Distance</vt:lpstr>
      <vt:lpstr>Establishment_1</vt:lpstr>
      <vt:lpstr>Establishment_2</vt:lpstr>
      <vt:lpstr>Establishment_3</vt:lpstr>
      <vt:lpstr>Locale</vt:lpstr>
      <vt:lpstr>Max_time</vt:lpstr>
      <vt:lpstr>Open</vt:lpstr>
      <vt:lpstr>Open_time</vt:lpstr>
      <vt:lpstr>'Control Card #1'!Print_Titles</vt:lpstr>
      <vt:lpstr>'Control Card #2'!Print_Titles</vt:lpstr>
      <vt:lpstr>'Control Card #3'!Print_Titles</vt:lpstr>
      <vt:lpstr>'Control Card #4'!Print_Titles</vt:lpstr>
      <vt:lpstr>Start_date</vt:lpstr>
      <vt:lpstr>Start_time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Stephen Hinde</dc:creator>
  <cp:lastModifiedBy>Stephen Hinde</cp:lastModifiedBy>
  <cp:lastPrinted>2023-08-07T03:27:24Z</cp:lastPrinted>
  <dcterms:created xsi:type="dcterms:W3CDTF">1997-11-12T04:43:39Z</dcterms:created>
  <dcterms:modified xsi:type="dcterms:W3CDTF">2023-08-14T19:50:39Z</dcterms:modified>
</cp:coreProperties>
</file>