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autoCompressPictures="0"/>
  <bookViews>
    <workbookView xWindow="0" yWindow="465" windowWidth="20730" windowHeight="11760" tabRatio="509"/>
  </bookViews>
  <sheets>
    <sheet name="Control Entry" sheetId="1" r:id="rId1"/>
    <sheet name="Control Card #1" sheetId="2" r:id="rId2"/>
    <sheet name="Control Card #2" sheetId="3" r:id="rId3"/>
    <sheet name="Control Card #3" sheetId="4" r:id="rId4"/>
  </sheets>
  <definedNames>
    <definedName name="Address_1" localSheetId="2">#REF!</definedName>
    <definedName name="Address_1" localSheetId="3">#REF!</definedName>
    <definedName name="Address_1">#REF!</definedName>
    <definedName name="Address_2" localSheetId="2">#REF!</definedName>
    <definedName name="Address_2" localSheetId="3">#REF!</definedName>
    <definedName name="Address_2">#REF!</definedName>
    <definedName name="brevet">'Control Entry'!$C$5</definedName>
    <definedName name="Brevet_Description">'Control Entry'!$B$7</definedName>
    <definedName name="Brevet_Length">'Control Entry'!$B$5</definedName>
    <definedName name="Brevet_Number">'Control Entry'!$B$8</definedName>
    <definedName name="City" localSheetId="2">#REF!</definedName>
    <definedName name="City" localSheetId="3">#REF!</definedName>
    <definedName name="City">#REF!</definedName>
    <definedName name="Close">'Control Entry'!$M$14:$M$23</definedName>
    <definedName name="Close_time">'Control Entry'!$O$14:$O$23</definedName>
    <definedName name="Control_1">'Control Entry'!$D$14:$O$14</definedName>
    <definedName name="Control_10">'Control Entry'!$D$23:$O$23</definedName>
    <definedName name="Control_11" localSheetId="2">'Control Entry'!#REF!</definedName>
    <definedName name="Control_11" localSheetId="3">'Control Entry'!#REF!</definedName>
    <definedName name="Control_11">'Control Entry'!#REF!</definedName>
    <definedName name="Control_12" localSheetId="2">'Control Entry'!#REF!</definedName>
    <definedName name="Control_12" localSheetId="3">'Control Entry'!#REF!</definedName>
    <definedName name="Control_12">'Control Entry'!#REF!</definedName>
    <definedName name="Control_13" localSheetId="2">'Control Entry'!#REF!</definedName>
    <definedName name="Control_13" localSheetId="3">'Control Entry'!#REF!</definedName>
    <definedName name="Control_13">'Control Entry'!#REF!</definedName>
    <definedName name="Control_14" localSheetId="2">'Control Entry'!#REF!</definedName>
    <definedName name="Control_14" localSheetId="3">'Control Entry'!#REF!</definedName>
    <definedName name="Control_14">'Control Entry'!#REF!</definedName>
    <definedName name="Control_15" localSheetId="2">'Control Entry'!#REF!</definedName>
    <definedName name="Control_15" localSheetId="3">'Control Entry'!#REF!</definedName>
    <definedName name="Control_15">'Control Entry'!#REF!</definedName>
    <definedName name="Control_16" localSheetId="2">'Control Entry'!#REF!</definedName>
    <definedName name="Control_16" localSheetId="3">'Control Entry'!#REF!</definedName>
    <definedName name="Control_16">'Control Entry'!#REF!</definedName>
    <definedName name="Control_17" localSheetId="2">'Control Entry'!#REF!</definedName>
    <definedName name="Control_17" localSheetId="3">'Control Entry'!#REF!</definedName>
    <definedName name="Control_17">'Control Entry'!#REF!</definedName>
    <definedName name="Control_18" localSheetId="2">'Control Entry'!#REF!</definedName>
    <definedName name="Control_18" localSheetId="3">'Control Entry'!#REF!</definedName>
    <definedName name="Control_18">'Control Entry'!#REF!</definedName>
    <definedName name="Control_19" localSheetId="2">'Control Entry'!#REF!</definedName>
    <definedName name="Control_19" localSheetId="3">'Control Entry'!#REF!</definedName>
    <definedName name="Control_19">'Control Entry'!#REF!</definedName>
    <definedName name="Control_2">'Control Entry'!$D$15:$O$15</definedName>
    <definedName name="Control_20" localSheetId="2">'Control Entry'!#REF!</definedName>
    <definedName name="Control_20" localSheetId="3">'Control Entry'!#REF!</definedName>
    <definedName name="Control_20">'Control Entry'!#REF!</definedName>
    <definedName name="Control_3">'Control Entry'!$D$16:$O$16</definedName>
    <definedName name="Control_4">'Control Entry'!$D$17:$O$17</definedName>
    <definedName name="Control_5">'Control Entry'!$D$18:$O$18</definedName>
    <definedName name="Control_6">'Control Entry'!$D$19:$O$19</definedName>
    <definedName name="Control_7">'Control Entry'!$D$20:$O$20</definedName>
    <definedName name="Control_8">'Control Entry'!$D$21:$O$21</definedName>
    <definedName name="Control_9">'Control Entry'!$D$22:$O$22</definedName>
    <definedName name="Country" localSheetId="2">#REF!</definedName>
    <definedName name="Country" localSheetId="3">#REF!</definedName>
    <definedName name="Country">#REF!</definedName>
    <definedName name="Distance">'Control Entry'!$D$14:$D$23</definedName>
    <definedName name="email" localSheetId="2">#REF!</definedName>
    <definedName name="email" localSheetId="3">#REF!</definedName>
    <definedName name="email">#REF!</definedName>
    <definedName name="Establishment_1">'Control Entry'!$F$14:$F$23</definedName>
    <definedName name="Establishment_2">'Control Entry'!$G$14:$G$23</definedName>
    <definedName name="Establishment_3">'Control Entry'!$H$14:$H$23</definedName>
    <definedName name="Fax" localSheetId="2">#REF!</definedName>
    <definedName name="Fax" localSheetId="3">#REF!</definedName>
    <definedName name="Fax">#REF!</definedName>
    <definedName name="First_Name" localSheetId="2">#REF!</definedName>
    <definedName name="First_Name" localSheetId="3">#REF!</definedName>
    <definedName name="First_Name">#REF!</definedName>
    <definedName name="Home_telephone" localSheetId="2">#REF!</definedName>
    <definedName name="Home_telephone" localSheetId="3">#REF!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 localSheetId="3">#REF!</definedName>
    <definedName name="Initial">#REF!</definedName>
    <definedName name="Locale">'Control Entry'!$E$14:$E$23</definedName>
    <definedName name="Max_time">'Control Entry'!$B$6</definedName>
    <definedName name="Open">'Control Entry'!$L$14:$L$23</definedName>
    <definedName name="Open_time">'Control Entry'!$N$14:$N$23</definedName>
    <definedName name="Postal_Code" localSheetId="2">#REF!</definedName>
    <definedName name="Postal_Code" localSheetId="3">#REF!</definedName>
    <definedName name="Postal_Code">#REF!</definedName>
    <definedName name="_xlnm.Print_Titles" localSheetId="1">'Control Card #1'!$1:$2</definedName>
    <definedName name="_xlnm.Print_Titles" localSheetId="2">'Control Card #2'!$1:$2</definedName>
    <definedName name="_xlnm.Print_Titles" localSheetId="3">'Control Card #3'!$1:$2</definedName>
    <definedName name="Province_State" localSheetId="2">#REF!</definedName>
    <definedName name="Province_State" localSheetId="3">#REF!</definedName>
    <definedName name="Province_State">#REF!</definedName>
    <definedName name="Start_date">'Control Entry'!$B$11</definedName>
    <definedName name="Start_time">'Control Entry'!$B$12</definedName>
    <definedName name="surname" localSheetId="2">#REF!</definedName>
    <definedName name="surname" localSheetId="3">#REF!</definedName>
    <definedName name="surname">#REF!</definedName>
    <definedName name="Work_telephone" localSheetId="2">#REF!</definedName>
    <definedName name="Work_telephone" localSheetId="3">#REF!</definedName>
    <definedName name="Work_telephone">#REF!</definedName>
  </definedNames>
  <calcPr calcId="114210" fullCalcOnLoad="1"/>
</workbook>
</file>

<file path=xl/calcChain.xml><?xml version="1.0" encoding="utf-8"?>
<calcChain xmlns="http://schemas.openxmlformats.org/spreadsheetml/2006/main">
  <c r="M41" i="1"/>
  <c r="M42"/>
  <c r="M43"/>
  <c r="M44"/>
  <c r="M45"/>
  <c r="M46"/>
  <c r="M47"/>
  <c r="M48"/>
  <c r="M49"/>
  <c r="M40"/>
  <c r="M28"/>
  <c r="M29"/>
  <c r="M30"/>
  <c r="M31"/>
  <c r="M32"/>
  <c r="M33"/>
  <c r="M34"/>
  <c r="M35"/>
  <c r="M36"/>
  <c r="M27"/>
  <c r="C5"/>
  <c r="B6"/>
  <c r="M20"/>
  <c r="M21"/>
  <c r="M22"/>
  <c r="M23"/>
  <c r="M19"/>
  <c r="M18"/>
  <c r="M17"/>
  <c r="M16"/>
  <c r="M15"/>
  <c r="S20" i="4"/>
  <c r="L20"/>
  <c r="S20" i="3"/>
  <c r="L20"/>
  <c r="S20" i="2"/>
  <c r="L20"/>
  <c r="Q33" i="4"/>
  <c r="Q33" i="3"/>
  <c r="Q33" i="2"/>
  <c r="F32" i="4"/>
  <c r="F31"/>
  <c r="F30"/>
  <c r="E32"/>
  <c r="E31"/>
  <c r="E30"/>
  <c r="D31"/>
  <c r="A31"/>
  <c r="F29"/>
  <c r="F28"/>
  <c r="F27"/>
  <c r="E29"/>
  <c r="E28"/>
  <c r="E27"/>
  <c r="D28"/>
  <c r="A28"/>
  <c r="E26"/>
  <c r="E25"/>
  <c r="E24"/>
  <c r="D25"/>
  <c r="A25"/>
  <c r="F23"/>
  <c r="F22"/>
  <c r="F21"/>
  <c r="E23"/>
  <c r="E22"/>
  <c r="E21"/>
  <c r="D22"/>
  <c r="A22"/>
  <c r="F20"/>
  <c r="F19"/>
  <c r="F18"/>
  <c r="E20"/>
  <c r="E19"/>
  <c r="E18"/>
  <c r="D19"/>
  <c r="A19"/>
  <c r="F17"/>
  <c r="F16"/>
  <c r="F15"/>
  <c r="E17"/>
  <c r="E16"/>
  <c r="E15"/>
  <c r="D16"/>
  <c r="A16"/>
  <c r="F13"/>
  <c r="F14"/>
  <c r="F12"/>
  <c r="E14"/>
  <c r="E13"/>
  <c r="E12"/>
  <c r="D13"/>
  <c r="A13"/>
  <c r="S3"/>
  <c r="S3" i="3"/>
  <c r="S3" i="2"/>
  <c r="A7"/>
  <c r="F11" i="4"/>
  <c r="F10"/>
  <c r="F9"/>
  <c r="E11"/>
  <c r="E10"/>
  <c r="E9"/>
  <c r="D10"/>
  <c r="A10"/>
  <c r="F8"/>
  <c r="F7"/>
  <c r="F6"/>
  <c r="E8"/>
  <c r="E7"/>
  <c r="E6"/>
  <c r="D7"/>
  <c r="A7"/>
  <c r="F5"/>
  <c r="F4"/>
  <c r="F3"/>
  <c r="E4"/>
  <c r="E3"/>
  <c r="D4"/>
  <c r="A4"/>
  <c r="O49" i="1"/>
  <c r="L49"/>
  <c r="N49"/>
  <c r="L48"/>
  <c r="L47"/>
  <c r="L46"/>
  <c r="L45"/>
  <c r="L44"/>
  <c r="L43"/>
  <c r="L42"/>
  <c r="L41"/>
  <c r="L40"/>
  <c r="F26" i="4"/>
  <c r="F25"/>
  <c r="F24"/>
  <c r="L6"/>
  <c r="R5"/>
  <c r="P5"/>
  <c r="E5"/>
  <c r="B30"/>
  <c r="B32"/>
  <c r="B31"/>
  <c r="C31"/>
  <c r="C30"/>
  <c r="C32"/>
  <c r="E8" i="3"/>
  <c r="E7"/>
  <c r="E5"/>
  <c r="F5" i="2"/>
  <c r="F32"/>
  <c r="F31"/>
  <c r="F30"/>
  <c r="F29"/>
  <c r="F28"/>
  <c r="F27"/>
  <c r="F26"/>
  <c r="F25"/>
  <c r="F24"/>
  <c r="F23"/>
  <c r="F22"/>
  <c r="F21"/>
  <c r="F20"/>
  <c r="F19"/>
  <c r="F18"/>
  <c r="F17"/>
  <c r="F16"/>
  <c r="F15"/>
  <c r="F14"/>
  <c r="F13"/>
  <c r="F12"/>
  <c r="F11"/>
  <c r="F10"/>
  <c r="F9"/>
  <c r="F8"/>
  <c r="F7"/>
  <c r="F6"/>
  <c r="F4"/>
  <c r="F3"/>
  <c r="L14" i="1"/>
  <c r="N14"/>
  <c r="L36"/>
  <c r="L35"/>
  <c r="L34"/>
  <c r="L33"/>
  <c r="L32"/>
  <c r="L31"/>
  <c r="L30"/>
  <c r="L29"/>
  <c r="L28"/>
  <c r="L27"/>
  <c r="F32" i="3"/>
  <c r="F31"/>
  <c r="F30"/>
  <c r="F29"/>
  <c r="F28"/>
  <c r="F27"/>
  <c r="F26"/>
  <c r="F25"/>
  <c r="F24"/>
  <c r="F23"/>
  <c r="F22"/>
  <c r="F21"/>
  <c r="F20"/>
  <c r="F19"/>
  <c r="F18"/>
  <c r="F17"/>
  <c r="F16"/>
  <c r="F15"/>
  <c r="F14"/>
  <c r="F13"/>
  <c r="F12"/>
  <c r="F11"/>
  <c r="F10"/>
  <c r="F9"/>
  <c r="F7"/>
  <c r="F8"/>
  <c r="F5"/>
  <c r="F6"/>
  <c r="F4"/>
  <c r="F3"/>
  <c r="E32"/>
  <c r="E31"/>
  <c r="E30"/>
  <c r="E29"/>
  <c r="E28"/>
  <c r="E27"/>
  <c r="E26"/>
  <c r="E25"/>
  <c r="E24"/>
  <c r="E23"/>
  <c r="E22"/>
  <c r="E21"/>
  <c r="E20"/>
  <c r="E19"/>
  <c r="E18"/>
  <c r="E17"/>
  <c r="E16"/>
  <c r="E15"/>
  <c r="E14"/>
  <c r="E13"/>
  <c r="E12"/>
  <c r="E11"/>
  <c r="E10"/>
  <c r="E9"/>
  <c r="E6"/>
  <c r="E4"/>
  <c r="E3"/>
  <c r="D31"/>
  <c r="D28"/>
  <c r="D25"/>
  <c r="D22"/>
  <c r="D19"/>
  <c r="D16"/>
  <c r="D13"/>
  <c r="D10"/>
  <c r="D7"/>
  <c r="D4"/>
  <c r="A31"/>
  <c r="A28"/>
  <c r="A25"/>
  <c r="A22"/>
  <c r="A19"/>
  <c r="A16"/>
  <c r="A13"/>
  <c r="A10"/>
  <c r="A7"/>
  <c r="A4"/>
  <c r="L23" i="1"/>
  <c r="L22"/>
  <c r="L21"/>
  <c r="L20"/>
  <c r="L19"/>
  <c r="L18"/>
  <c r="L17"/>
  <c r="L16"/>
  <c r="L15"/>
  <c r="L6" i="3"/>
  <c r="R5"/>
  <c r="P5"/>
  <c r="M4"/>
  <c r="L6" i="2"/>
  <c r="R5"/>
  <c r="P5"/>
  <c r="E32"/>
  <c r="E31"/>
  <c r="E30"/>
  <c r="E29"/>
  <c r="E28"/>
  <c r="E27"/>
  <c r="E26"/>
  <c r="E25"/>
  <c r="E24"/>
  <c r="E23"/>
  <c r="E22"/>
  <c r="E21"/>
  <c r="E20"/>
  <c r="E19"/>
  <c r="E18"/>
  <c r="E17"/>
  <c r="E16"/>
  <c r="E15"/>
  <c r="E14"/>
  <c r="E13"/>
  <c r="E12"/>
  <c r="E11"/>
  <c r="E10"/>
  <c r="E9"/>
  <c r="E8"/>
  <c r="E7"/>
  <c r="E6"/>
  <c r="E5"/>
  <c r="E4"/>
  <c r="E3"/>
  <c r="D25"/>
  <c r="D28"/>
  <c r="D31"/>
  <c r="A31"/>
  <c r="A4"/>
  <c r="D19"/>
  <c r="D16"/>
  <c r="D13"/>
  <c r="D10"/>
  <c r="D7"/>
  <c r="D4"/>
  <c r="D22"/>
  <c r="A28"/>
  <c r="A25"/>
  <c r="A22"/>
  <c r="A19"/>
  <c r="A10"/>
  <c r="A16"/>
  <c r="A13"/>
  <c r="O45" i="1"/>
  <c r="O44"/>
  <c r="O42"/>
  <c r="O46"/>
  <c r="O47"/>
  <c r="O48"/>
  <c r="N47"/>
  <c r="N41"/>
  <c r="N46"/>
  <c r="N42"/>
  <c r="N44"/>
  <c r="N48"/>
  <c r="N45"/>
  <c r="N43"/>
  <c r="O41"/>
  <c r="N40"/>
  <c r="O43"/>
  <c r="O40"/>
  <c r="M4" i="4"/>
  <c r="O16" i="1"/>
  <c r="M14"/>
  <c r="O14"/>
  <c r="C3" i="2"/>
  <c r="N30" i="1"/>
  <c r="B4" i="2"/>
  <c r="O18" i="1"/>
  <c r="C17" i="2"/>
  <c r="N17" i="1"/>
  <c r="B14" i="2"/>
  <c r="O22" i="1"/>
  <c r="C27" i="2"/>
  <c r="N27" i="1"/>
  <c r="N33"/>
  <c r="O17"/>
  <c r="N21"/>
  <c r="B25" i="2"/>
  <c r="O33" i="1"/>
  <c r="B3" i="2"/>
  <c r="O19" i="1"/>
  <c r="O21"/>
  <c r="C26" i="2"/>
  <c r="O32" i="1"/>
  <c r="B5" i="2"/>
  <c r="N16" i="1"/>
  <c r="B11" i="2"/>
  <c r="N20" i="1"/>
  <c r="B22" i="2"/>
  <c r="N23" i="1"/>
  <c r="B31" i="2"/>
  <c r="N34" i="1"/>
  <c r="O36"/>
  <c r="N36"/>
  <c r="O23"/>
  <c r="C31" i="2"/>
  <c r="N15" i="1"/>
  <c r="B6" i="2"/>
  <c r="N19" i="1"/>
  <c r="B19" i="2"/>
  <c r="O20" i="1"/>
  <c r="C23" i="2"/>
  <c r="N28" i="1"/>
  <c r="N31"/>
  <c r="O15"/>
  <c r="N18"/>
  <c r="B17" i="2"/>
  <c r="N22" i="1"/>
  <c r="B27" i="2"/>
  <c r="N29" i="1"/>
  <c r="N32"/>
  <c r="N35"/>
  <c r="O29"/>
  <c r="O28"/>
  <c r="M4" i="2"/>
  <c r="O35" i="1"/>
  <c r="O31"/>
  <c r="O27"/>
  <c r="O34"/>
  <c r="O30"/>
  <c r="B13" i="4"/>
  <c r="B12"/>
  <c r="B14"/>
  <c r="B29"/>
  <c r="B28"/>
  <c r="B27"/>
  <c r="C15"/>
  <c r="C17"/>
  <c r="C16"/>
  <c r="B23"/>
  <c r="B22"/>
  <c r="B21"/>
  <c r="B17"/>
  <c r="B16"/>
  <c r="B15"/>
  <c r="B25"/>
  <c r="B24"/>
  <c r="B26"/>
  <c r="C29"/>
  <c r="C28"/>
  <c r="C27"/>
  <c r="C21"/>
  <c r="C23"/>
  <c r="C22"/>
  <c r="C4" i="2"/>
  <c r="C14" i="4"/>
  <c r="C13"/>
  <c r="C12"/>
  <c r="B19"/>
  <c r="B18"/>
  <c r="B20"/>
  <c r="C20"/>
  <c r="C19"/>
  <c r="C18"/>
  <c r="C26"/>
  <c r="C25"/>
  <c r="C24"/>
  <c r="C8"/>
  <c r="C7"/>
  <c r="C6"/>
  <c r="C10"/>
  <c r="C9"/>
  <c r="C11"/>
  <c r="B8"/>
  <c r="B7"/>
  <c r="B6"/>
  <c r="B9"/>
  <c r="B11"/>
  <c r="B10"/>
  <c r="B5"/>
  <c r="B4"/>
  <c r="B3"/>
  <c r="C3"/>
  <c r="C5"/>
  <c r="C4"/>
  <c r="C19" i="3"/>
  <c r="B21"/>
  <c r="B29"/>
  <c r="B6"/>
  <c r="B26"/>
  <c r="B5"/>
  <c r="B11"/>
  <c r="C23"/>
  <c r="B32"/>
  <c r="B16"/>
  <c r="C31"/>
  <c r="C5" i="2"/>
  <c r="B19" i="3"/>
  <c r="B14"/>
  <c r="B25"/>
  <c r="C16" i="2"/>
  <c r="B13" i="3"/>
  <c r="B12"/>
  <c r="B21" i="2"/>
  <c r="B26"/>
  <c r="C15"/>
  <c r="C30" i="3"/>
  <c r="B3"/>
  <c r="C25" i="2"/>
  <c r="B8"/>
  <c r="B12"/>
  <c r="B13"/>
  <c r="B22" i="3"/>
  <c r="B30"/>
  <c r="B27"/>
  <c r="B8"/>
  <c r="C29" i="2"/>
  <c r="B18" i="3"/>
  <c r="B29" i="2"/>
  <c r="B15"/>
  <c r="B31" i="3"/>
  <c r="B18" i="2"/>
  <c r="B10" i="3"/>
  <c r="B32" i="2"/>
  <c r="C28"/>
  <c r="C24"/>
  <c r="C30"/>
  <c r="B20"/>
  <c r="C22" i="3"/>
  <c r="B24"/>
  <c r="B28"/>
  <c r="B7"/>
  <c r="B4"/>
  <c r="B16" i="2"/>
  <c r="B7"/>
  <c r="C19"/>
  <c r="C18"/>
  <c r="C20"/>
  <c r="C13"/>
  <c r="C12"/>
  <c r="C14"/>
  <c r="B23" i="3"/>
  <c r="B9" i="2"/>
  <c r="B30"/>
  <c r="C32"/>
  <c r="B10"/>
  <c r="B9" i="3"/>
  <c r="B24" i="2"/>
  <c r="C21" i="3"/>
  <c r="C18"/>
  <c r="B20"/>
  <c r="C9" i="2"/>
  <c r="C10"/>
  <c r="B28"/>
  <c r="B23"/>
  <c r="B17" i="3"/>
  <c r="C8" i="2"/>
  <c r="C7"/>
  <c r="C22"/>
  <c r="C21"/>
  <c r="C11"/>
  <c r="C20" i="3"/>
  <c r="B15"/>
  <c r="C32"/>
  <c r="C6" i="2"/>
  <c r="C6" i="3"/>
  <c r="C7"/>
  <c r="C8"/>
  <c r="C11"/>
  <c r="C9"/>
  <c r="C10"/>
  <c r="C13"/>
  <c r="C14"/>
  <c r="C12"/>
  <c r="C4"/>
  <c r="C5"/>
  <c r="C3"/>
  <c r="C25"/>
  <c r="C26"/>
  <c r="C24"/>
  <c r="C15"/>
  <c r="C16"/>
  <c r="C17"/>
  <c r="C27"/>
  <c r="C28"/>
  <c r="C29"/>
</calcChain>
</file>

<file path=xl/comments1.xml><?xml version="1.0" encoding="utf-8"?>
<comments xmlns="http://schemas.openxmlformats.org/spreadsheetml/2006/main">
  <authors>
    <author>Stephen Hinde</author>
    <author>A satisfied Microsoft Office user</author>
  </authors>
  <commentList>
    <comment ref="B5" authorId="0">
      <text>
        <r>
          <rPr>
            <b/>
            <sz val="10"/>
            <color indexed="8"/>
            <rFont val="Tahoma"/>
            <family val="2"/>
          </rPr>
          <t>Stephen Hinde:</t>
        </r>
        <r>
          <rPr>
            <sz val="10"/>
            <color indexed="8"/>
            <rFont val="Tahoma"/>
            <family val="2"/>
          </rPr>
          <t xml:space="preserve">
</t>
        </r>
        <r>
          <rPr>
            <sz val="10"/>
            <color indexed="8"/>
            <rFont val="Tahoma"/>
            <family val="2"/>
          </rPr>
          <t xml:space="preserve">Nominal ACP distance
</t>
        </r>
        <r>
          <rPr>
            <sz val="10"/>
            <color indexed="8"/>
            <rFont val="Tahoma"/>
            <family val="2"/>
          </rPr>
          <t xml:space="preserve">
</t>
        </r>
        <r>
          <rPr>
            <sz val="10"/>
            <color indexed="8"/>
            <rFont val="Tahoma"/>
            <family val="2"/>
          </rPr>
          <t>eg 200, 300, 400, 600</t>
        </r>
      </text>
    </comment>
    <comment ref="B6" authorId="1">
      <text>
        <r>
          <rPr>
            <sz val="8"/>
            <color indexed="8"/>
            <rFont val="Tahoma"/>
            <family val="2"/>
          </rPr>
          <t>Autocalculated based on ACP specified times</t>
        </r>
      </text>
    </comment>
    <comment ref="B8" authorId="0">
      <text>
        <r>
          <rPr>
            <b/>
            <sz val="10"/>
            <color indexed="8"/>
            <rFont val="Tahoma"/>
            <family val="2"/>
          </rPr>
          <t>Stephen Hinde:</t>
        </r>
        <r>
          <rPr>
            <sz val="10"/>
            <color indexed="8"/>
            <rFont val="Tahoma"/>
            <family val="2"/>
          </rPr>
          <t xml:space="preserve">
</t>
        </r>
        <r>
          <rPr>
            <sz val="10"/>
            <color indexed="8"/>
            <rFont val="Tahoma"/>
            <family val="2"/>
          </rPr>
          <t>On event page</t>
        </r>
      </text>
    </comment>
    <comment ref="B9" authorId="0">
      <text>
        <r>
          <rPr>
            <b/>
            <sz val="10"/>
            <color indexed="8"/>
            <rFont val="Tahoma"/>
            <family val="2"/>
          </rPr>
          <t>Stephen Hinde:</t>
        </r>
        <r>
          <rPr>
            <sz val="10"/>
            <color indexed="8"/>
            <rFont val="Tahoma"/>
            <family val="2"/>
          </rPr>
          <t xml:space="preserve">
</t>
        </r>
        <r>
          <rPr>
            <sz val="10"/>
            <color indexed="8"/>
            <rFont val="Tahoma"/>
            <family val="2"/>
          </rPr>
          <t>Official ACP date</t>
        </r>
      </text>
    </comment>
    <comment ref="B11" authorId="0">
      <text>
        <r>
          <rPr>
            <b/>
            <sz val="10"/>
            <color indexed="8"/>
            <rFont val="Tahoma"/>
            <family val="2"/>
          </rPr>
          <t>Stephen Hinde:</t>
        </r>
        <r>
          <rPr>
            <sz val="10"/>
            <color indexed="8"/>
            <rFont val="Tahoma"/>
            <family val="2"/>
          </rPr>
          <t xml:space="preserve">
</t>
        </r>
        <r>
          <rPr>
            <sz val="10"/>
            <color indexed="8"/>
            <rFont val="Tahoma"/>
            <family val="2"/>
          </rPr>
          <t xml:space="preserve">Ride date
</t>
        </r>
      </text>
    </comment>
    <comment ref="B12" authorId="0">
      <text>
        <r>
          <rPr>
            <b/>
            <sz val="10"/>
            <color indexed="8"/>
            <rFont val="Tahoma"/>
            <family val="2"/>
          </rPr>
          <t>Stephen Hinde:</t>
        </r>
        <r>
          <rPr>
            <sz val="10"/>
            <color indexed="8"/>
            <rFont val="Tahoma"/>
            <family val="2"/>
          </rPr>
          <t xml:space="preserve">
</t>
        </r>
        <r>
          <rPr>
            <sz val="10"/>
            <color indexed="8"/>
            <rFont val="Tahoma"/>
            <family val="2"/>
          </rPr>
          <t xml:space="preserve">24hr clock format
</t>
        </r>
        <r>
          <rPr>
            <sz val="10"/>
            <color indexed="8"/>
            <rFont val="Tahoma"/>
            <family val="2"/>
          </rPr>
          <t>hh:mm</t>
        </r>
      </text>
    </comment>
  </commentList>
</comments>
</file>

<file path=xl/sharedStrings.xml><?xml version="1.0" encoding="utf-8"?>
<sst xmlns="http://schemas.openxmlformats.org/spreadsheetml/2006/main" count="312" uniqueCount="115">
  <si>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</si>
  <si>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</si>
  <si>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</si>
  <si>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</si>
  <si>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</si>
  <si>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</si>
  <si>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</si>
  <si>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</si>
  <si>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</si>
  <si>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</si>
  <si>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</si>
  <si>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</si>
  <si>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</si>
  <si>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</si>
  <si>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</si>
  <si>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</si>
  <si>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</si>
  <si>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</si>
  <si>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</si>
  <si>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</si>
  <si>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</si>
  <si>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</si>
  <si>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</si>
  <si>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</si>
  <si>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</si>
  <si>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</si>
  <si>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</si>
  <si>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</si>
  <si>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</si>
  <si>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</si>
  <si>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</si>
  <si>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</si>
  <si>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</si>
  <si>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</si>
  <si>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</si>
  <si>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</si>
  <si>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</si>
  <si>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</si>
  <si>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</si>
  <si>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</si>
  <si>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</si>
  <si>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</si>
  <si>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</si>
  <si>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</si>
  <si>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</si>
  <si>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</si>
  <si>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</si>
  <si>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</si>
  <si>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</si>
  <si>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</si>
  <si>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</si>
  <si>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</si>
  <si>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</si>
  <si>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</si>
  <si>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</si>
  <si>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</si>
  <si>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</si>
  <si>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</si>
  <si>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</si>
  <si>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</si>
  <si>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</si>
  <si>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</si>
  <si>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</si>
  <si>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</si>
  <si>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</si>
  <si>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</si>
  <si>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</si>
  <si>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</si>
  <si>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</si>
  <si>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Fill in the control distance.  The opening and closing times will be automatically calculated based on the start time and the brevet distance.  If you need more than 10 controls, use card #2, otherwise leave that section blank.</t>
  </si>
  <si>
    <t>When using information controls, you can put your question in the Signature/Answer section eg Sig/Ans.1 Sign on main door  Sig/Ans. 2  This week's special is?  Sig/Ans. 3 ________________</t>
  </si>
  <si>
    <t>Control Card #1 Information Control Question (optional)</t>
  </si>
  <si>
    <t>Control Card #2 Information Control Question (optional)</t>
  </si>
  <si>
    <t xml:space="preserve">Control Card </t>
  </si>
  <si>
    <r>
      <t xml:space="preserve">At each control, please have signed or </t>
    </r>
    <r>
      <rPr>
        <b/>
        <i/>
        <sz val="16"/>
        <rFont val="Arial"/>
        <family val="2"/>
      </rPr>
      <t>answer question</t>
    </r>
    <r>
      <rPr>
        <i/>
        <sz val="16"/>
        <rFont val="Arial"/>
        <family val="2"/>
      </rPr>
      <t xml:space="preserve"> and</t>
    </r>
    <r>
      <rPr>
        <b/>
        <i/>
        <sz val="16"/>
        <rFont val="Arial"/>
        <family val="2"/>
      </rPr>
      <t xml:space="preserve"> note time of day</t>
    </r>
  </si>
  <si>
    <t>Enter the start time.  This will be the official ACP listed start time found on the event page, unless a ride window has been enabled.</t>
  </si>
  <si>
    <t>Enter the start date.  This will be the same as the schedule date, exceot for pre-rides or unless a ride window has been enabled.</t>
  </si>
  <si>
    <t>Control Card #2</t>
  </si>
  <si>
    <t>Control Card #3 Information Control Question (optional)</t>
  </si>
  <si>
    <t>Control Card #3</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</si>
  <si>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</si>
  <si>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Control Card #1</t>
  </si>
  <si>
    <t xml:space="preserve">Template Revised:  </t>
  </si>
  <si>
    <t>DO NOT DELETE OR MOVE ROWS OR COLUMNS (delete contents of cells only)</t>
  </si>
  <si>
    <t>Fill in the Locale (city) for each control.  Establishment 1, 2, and 3 can be used to describe the control itself eg Locale HOPE  Est.1 Dairy Queen Est.2 817 Water Ave Est. 3 (left blank)</t>
  </si>
  <si>
    <t>Scroll right to see further instructions</t>
  </si>
  <si>
    <t>You can create 3 control cards  (upto 30 controls) for one event, or 3 control cards (up to 10 controls) with different start loctions for a single event.  Put a distance greater than zero in the first distance field of card 2 or 3 to have a single event.  Put zero in the same distance field to create a new start location for the event.  Control Card #1 will only show '#1' if a distance, not zero, is entered into the first distance box for Control Card #2.  Similarly for Control Card #3</t>
  </si>
  <si>
    <t>West Vancouver</t>
  </si>
  <si>
    <t>Crema Café</t>
  </si>
  <si>
    <t>Porteau Cove</t>
  </si>
  <si>
    <t>UBC Botanical Garden</t>
  </si>
  <si>
    <t>Deep Cove</t>
  </si>
  <si>
    <t>Your Choice</t>
  </si>
  <si>
    <t>Summit Finish 200 III</t>
  </si>
  <si>
    <t>Seymour Dam</t>
  </si>
  <si>
    <t>Lookout</t>
  </si>
  <si>
    <t>1495 Bellevue Ave</t>
  </si>
  <si>
    <t>Crazy Raven Bar and Grill</t>
  </si>
  <si>
    <t>Ski Rental Building beside</t>
  </si>
  <si>
    <t>Cypress Mtn Nordic Area</t>
  </si>
  <si>
    <t>Cypress Mtn Alpine</t>
  </si>
  <si>
    <t>Grouse Mtn Gondola Base</t>
  </si>
  <si>
    <t xml:space="preserve">Washrooms.  </t>
  </si>
  <si>
    <t>Mountain Goat in front</t>
  </si>
  <si>
    <t>of Starbucks</t>
  </si>
  <si>
    <t>Sign for Taxi Stand #___?</t>
  </si>
  <si>
    <t>Old Marine Dr Washrooms</t>
  </si>
  <si>
    <t>Beside Stairs to Wreck Beach</t>
  </si>
  <si>
    <t>Sign: "No Loud ___ Music"?</t>
  </si>
  <si>
    <t>On Door, "Max Occupancy ___"?</t>
  </si>
  <si>
    <t>"No ___ Parking"?</t>
  </si>
  <si>
    <t>Dogwood Sign</t>
  </si>
  <si>
    <t xml:space="preserve">Right of Porteau Cove Marine Park </t>
  </si>
  <si>
    <t>Sign on Fence: "Bridge Load Limit ____kg GVW"?</t>
  </si>
  <si>
    <t>Deep Cove Village</t>
  </si>
</sst>
</file>

<file path=xl/styles.xml><?xml version="1.0" encoding="utf-8"?>
<styleSheet xmlns="http://schemas.openxmlformats.org/spreadsheetml/2006/main">
  <numFmts count="6">
    <numFmt numFmtId="164" formatCode="dd/mmm/yy\ hh:mm\ AM/PM"/>
    <numFmt numFmtId="165" formatCode="d/mmm/yy"/>
    <numFmt numFmtId="166" formatCode="dddd"/>
    <numFmt numFmtId="167" formatCode="0.0"/>
    <numFmt numFmtId="168" formatCode="mmmm\ d\,\ yyyy"/>
    <numFmt numFmtId="169" formatCode="[&lt;=9999999]###\-####;\(###\)\ ###\-####"/>
  </numFmts>
  <fonts count="30">
    <font>
      <sz val="10"/>
      <name val="Arial"/>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b/>
      <sz val="16"/>
      <name val="Arial"/>
      <family val="2"/>
    </font>
    <font>
      <sz val="8"/>
      <color indexed="8"/>
      <name val="Tahoma"/>
      <family val="2"/>
    </font>
    <font>
      <i/>
      <sz val="16"/>
      <name val="Arial"/>
      <family val="2"/>
    </font>
    <font>
      <b/>
      <i/>
      <sz val="16"/>
      <name val="Arial"/>
      <family val="2"/>
    </font>
    <font>
      <sz val="16"/>
      <name val="Arial Narrow"/>
      <family val="2"/>
    </font>
    <font>
      <sz val="10"/>
      <color indexed="8"/>
      <name val="Tahoma"/>
      <family val="2"/>
    </font>
    <font>
      <b/>
      <sz val="10"/>
      <color indexed="8"/>
      <name val="Tahoma"/>
      <family val="2"/>
    </font>
    <font>
      <sz val="10"/>
      <name val="Arial Narrow"/>
      <family val="2"/>
    </font>
    <font>
      <sz val="10"/>
      <color indexed="10"/>
      <name val="Arial"/>
      <family val="2"/>
    </font>
    <font>
      <sz val="12"/>
      <name val="Arial Narrow"/>
      <family val="2"/>
    </font>
    <font>
      <b/>
      <sz val="12"/>
      <name val="Arial Narrow"/>
      <family val="2"/>
    </font>
    <font>
      <sz val="20"/>
      <color indexed="22"/>
      <name val="Impact"/>
      <family val="2"/>
    </font>
    <font>
      <sz val="16"/>
      <color indexed="10"/>
      <name val="Arial"/>
      <family val="2"/>
    </font>
    <font>
      <sz val="9"/>
      <name val="Arial"/>
      <family val="2"/>
    </font>
    <font>
      <sz val="8"/>
      <name val="Arial"/>
    </font>
    <font>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indexed="22"/>
        <bgColor indexed="64"/>
      </patternFill>
    </fill>
  </fills>
  <borders count="31">
    <border>
      <left/>
      <right/>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7">
    <xf numFmtId="0" fontId="0" fillId="0" borderId="0"/>
    <xf numFmtId="0" fontId="28" fillId="0" borderId="0"/>
    <xf numFmtId="0" fontId="29" fillId="0" borderId="0"/>
    <xf numFmtId="0" fontId="29" fillId="0" borderId="0"/>
    <xf numFmtId="0" fontId="29" fillId="0" borderId="0"/>
    <xf numFmtId="0" fontId="29" fillId="0" borderId="0"/>
    <xf numFmtId="0" fontId="1" fillId="0" borderId="0"/>
  </cellStyleXfs>
  <cellXfs count="154">
    <xf numFmtId="0" fontId="0" fillId="0" borderId="0" xfId="0"/>
    <xf numFmtId="0" fontId="0" fillId="0" borderId="1"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2" xfId="0" applyFill="1" applyBorder="1"/>
    <xf numFmtId="0" fontId="0" fillId="2" borderId="3" xfId="0" applyFill="1" applyBorder="1"/>
    <xf numFmtId="0" fontId="0" fillId="2" borderId="4" xfId="0" applyFill="1" applyBorder="1"/>
    <xf numFmtId="0" fontId="3" fillId="2" borderId="5" xfId="0" applyFont="1" applyFill="1" applyBorder="1" applyAlignment="1">
      <alignment horizontal="center"/>
    </xf>
    <xf numFmtId="0" fontId="0" fillId="2" borderId="6" xfId="0" applyFill="1" applyBorder="1" applyAlignment="1">
      <alignment horizontal="right"/>
    </xf>
    <xf numFmtId="0" fontId="0" fillId="2" borderId="7" xfId="0" applyFill="1" applyBorder="1" applyAlignment="1">
      <alignment horizontal="right"/>
    </xf>
    <xf numFmtId="0" fontId="0" fillId="2" borderId="8" xfId="0" applyFill="1" applyBorder="1" applyAlignment="1">
      <alignment horizontal="right"/>
    </xf>
    <xf numFmtId="0" fontId="0" fillId="2" borderId="9" xfId="0" applyFill="1" applyBorder="1"/>
    <xf numFmtId="0" fontId="0" fillId="0" borderId="0" xfId="0" applyAlignment="1">
      <alignment vertical="top" textRotation="90"/>
    </xf>
    <xf numFmtId="0" fontId="6" fillId="0" borderId="0" xfId="0" applyFont="1"/>
    <xf numFmtId="0" fontId="0" fillId="0" borderId="10" xfId="0" applyBorder="1"/>
    <xf numFmtId="0" fontId="0" fillId="0" borderId="11" xfId="0" applyBorder="1"/>
    <xf numFmtId="0" fontId="6" fillId="0" borderId="0" xfId="0" applyFont="1" applyProtection="1"/>
    <xf numFmtId="0" fontId="0" fillId="0" borderId="0" xfId="0" applyProtection="1"/>
    <xf numFmtId="0" fontId="0" fillId="0" borderId="12" xfId="0" applyBorder="1" applyProtection="1"/>
    <xf numFmtId="0" fontId="0" fillId="0" borderId="13" xfId="0" applyBorder="1" applyProtection="1"/>
    <xf numFmtId="0" fontId="0" fillId="0" borderId="14" xfId="0" applyBorder="1" applyProtection="1"/>
    <xf numFmtId="0" fontId="0" fillId="0" borderId="0" xfId="0" applyBorder="1" applyProtection="1"/>
    <xf numFmtId="0" fontId="0" fillId="0" borderId="15" xfId="0" applyBorder="1" applyProtection="1"/>
    <xf numFmtId="0" fontId="0" fillId="0" borderId="16"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7" xfId="0" applyNumberFormat="1" applyBorder="1" applyProtection="1">
      <protection locked="0"/>
    </xf>
    <xf numFmtId="0" fontId="0" fillId="0" borderId="0" xfId="0" applyBorder="1" applyAlignment="1">
      <alignment horizontal="center"/>
    </xf>
    <xf numFmtId="0" fontId="0" fillId="0" borderId="0" xfId="0" applyBorder="1"/>
    <xf numFmtId="167" fontId="9" fillId="0" borderId="1" xfId="0" applyNumberFormat="1" applyFont="1" applyBorder="1" applyAlignment="1">
      <alignment horizontal="center" wrapText="1"/>
    </xf>
    <xf numFmtId="166" fontId="9" fillId="0" borderId="1" xfId="0" applyNumberFormat="1" applyFont="1" applyBorder="1" applyAlignment="1">
      <alignment horizontal="center" vertical="center" wrapText="1"/>
    </xf>
    <xf numFmtId="0" fontId="9" fillId="0" borderId="15" xfId="0" applyFont="1" applyBorder="1" applyAlignment="1">
      <alignment horizontal="center" vertical="center"/>
    </xf>
    <xf numFmtId="0" fontId="10" fillId="0" borderId="1" xfId="0" applyFont="1" applyBorder="1" applyAlignment="1">
      <alignment horizontal="center" vertical="center" wrapText="1"/>
    </xf>
    <xf numFmtId="167" fontId="9" fillId="0" borderId="6" xfId="0" applyNumberFormat="1" applyFont="1" applyBorder="1"/>
    <xf numFmtId="165" fontId="9" fillId="0" borderId="6" xfId="0" applyNumberFormat="1" applyFont="1" applyBorder="1" applyAlignment="1">
      <alignment horizontal="center" vertical="center" wrapText="1"/>
    </xf>
    <xf numFmtId="0" fontId="9" fillId="0" borderId="12" xfId="0" applyFont="1" applyBorder="1" applyAlignment="1">
      <alignment horizontal="center" vertical="center"/>
    </xf>
    <xf numFmtId="0" fontId="10" fillId="0" borderId="6" xfId="0" applyFont="1" applyBorder="1" applyAlignment="1">
      <alignment horizontal="center" vertical="center" wrapText="1"/>
    </xf>
    <xf numFmtId="0" fontId="9" fillId="0" borderId="1" xfId="0" applyFont="1" applyBorder="1" applyAlignment="1">
      <alignment horizontal="center" vertical="center"/>
    </xf>
    <xf numFmtId="167" fontId="11" fillId="0" borderId="1" xfId="0" applyNumberFormat="1" applyFont="1" applyBorder="1" applyAlignment="1">
      <alignment horizontal="center" vertical="center"/>
    </xf>
    <xf numFmtId="18"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167" fontId="8" fillId="0" borderId="0" xfId="0" applyNumberFormat="1" applyFont="1" applyAlignment="1">
      <alignment vertical="top"/>
    </xf>
    <xf numFmtId="0" fontId="5"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horizontal="center" vertical="justify"/>
    </xf>
    <xf numFmtId="0" fontId="6" fillId="0" borderId="0" xfId="0" applyFont="1" applyBorder="1" applyAlignment="1" applyProtection="1">
      <alignment horizontal="right"/>
    </xf>
    <xf numFmtId="0" fontId="6" fillId="0" borderId="0" xfId="0" applyFont="1" applyBorder="1" applyAlignment="1" applyProtection="1">
      <alignment horizontal="left"/>
    </xf>
    <xf numFmtId="0" fontId="6" fillId="0" borderId="0" xfId="0" applyFont="1" applyAlignment="1" applyProtection="1"/>
    <xf numFmtId="0" fontId="1" fillId="2" borderId="8" xfId="0" applyFont="1" applyFill="1" applyBorder="1" applyAlignment="1">
      <alignment horizontal="right"/>
    </xf>
    <xf numFmtId="168" fontId="6" fillId="0" borderId="0" xfId="0" applyNumberFormat="1" applyFont="1" applyBorder="1" applyAlignment="1">
      <alignment horizontal="center"/>
    </xf>
    <xf numFmtId="0" fontId="6" fillId="0" borderId="0" xfId="0" quotePrefix="1" applyFont="1" applyAlignment="1">
      <alignment horizontal="right" vertical="center"/>
    </xf>
    <xf numFmtId="0" fontId="6" fillId="0" borderId="0" xfId="0" applyFont="1" applyAlignment="1">
      <alignment vertical="center"/>
    </xf>
    <xf numFmtId="167" fontId="0" fillId="0" borderId="18" xfId="0" applyNumberFormat="1" applyBorder="1" applyProtection="1">
      <protection locked="0"/>
    </xf>
    <xf numFmtId="0" fontId="6" fillId="0" borderId="19" xfId="0" applyFont="1" applyBorder="1"/>
    <xf numFmtId="0" fontId="10" fillId="0" borderId="1" xfId="0" applyFont="1" applyBorder="1" applyAlignment="1">
      <alignment horizontal="center" vertical="top" wrapText="1"/>
    </xf>
    <xf numFmtId="0" fontId="2" fillId="0" borderId="0" xfId="0" applyFont="1" applyBorder="1" applyAlignment="1" applyProtection="1">
      <alignment wrapText="1"/>
    </xf>
    <xf numFmtId="0" fontId="6" fillId="0" borderId="0" xfId="0" applyFont="1" applyBorder="1"/>
    <xf numFmtId="0" fontId="6" fillId="0" borderId="0" xfId="0" applyFont="1" applyBorder="1" applyProtection="1"/>
    <xf numFmtId="0" fontId="6" fillId="0" borderId="0" xfId="0" applyFont="1" applyAlignment="1">
      <alignment horizontal="center"/>
    </xf>
    <xf numFmtId="0" fontId="6" fillId="0" borderId="0" xfId="0" applyFont="1" applyBorder="1" applyAlignment="1">
      <alignment horizontal="center"/>
    </xf>
    <xf numFmtId="18" fontId="17" fillId="0" borderId="0" xfId="0" applyNumberFormat="1" applyFont="1" applyBorder="1" applyAlignment="1">
      <alignment horizontal="center" wrapText="1"/>
    </xf>
    <xf numFmtId="0" fontId="6" fillId="0" borderId="0" xfId="0" applyNumberFormat="1" applyFont="1" applyBorder="1" applyAlignment="1" applyProtection="1">
      <alignment horizontal="left" vertical="center"/>
    </xf>
    <xf numFmtId="169" fontId="6" fillId="0" borderId="0" xfId="0" applyNumberFormat="1" applyFont="1" applyBorder="1" applyAlignment="1" applyProtection="1">
      <alignment horizontal="left" vertical="center"/>
    </xf>
    <xf numFmtId="0" fontId="20" fillId="2" borderId="3" xfId="0" applyFont="1" applyFill="1" applyBorder="1"/>
    <xf numFmtId="0" fontId="20" fillId="2" borderId="4" xfId="0" applyFont="1" applyFill="1" applyBorder="1"/>
    <xf numFmtId="167" fontId="0" fillId="0" borderId="19" xfId="0" applyNumberFormat="1" applyBorder="1" applyProtection="1">
      <protection locked="0"/>
    </xf>
    <xf numFmtId="0" fontId="9" fillId="0" borderId="12" xfId="0" applyFont="1" applyBorder="1" applyProtection="1">
      <protection locked="0"/>
    </xf>
    <xf numFmtId="49" fontId="9" fillId="0" borderId="12" xfId="0" applyNumberFormat="1" applyFont="1" applyBorder="1" applyAlignment="1" applyProtection="1">
      <alignment horizontal="center"/>
      <protection locked="0"/>
    </xf>
    <xf numFmtId="49" fontId="9" fillId="0" borderId="16" xfId="0" applyNumberFormat="1" applyFont="1" applyBorder="1" applyAlignment="1" applyProtection="1">
      <alignment horizontal="center"/>
      <protection locked="0"/>
    </xf>
    <xf numFmtId="0" fontId="9" fillId="0" borderId="20" xfId="0" applyFont="1" applyBorder="1" applyProtection="1">
      <protection locked="0"/>
    </xf>
    <xf numFmtId="1" fontId="9" fillId="0" borderId="9" xfId="0" applyNumberFormat="1" applyFont="1" applyBorder="1" applyProtection="1">
      <protection locked="0"/>
    </xf>
    <xf numFmtId="15" fontId="9" fillId="0" borderId="9" xfId="0" applyNumberFormat="1" applyFont="1" applyBorder="1" applyProtection="1">
      <protection locked="0"/>
    </xf>
    <xf numFmtId="20" fontId="9" fillId="0" borderId="16" xfId="0" applyNumberFormat="1" applyFont="1" applyBorder="1" applyProtection="1">
      <protection locked="0"/>
    </xf>
    <xf numFmtId="0" fontId="21" fillId="0" borderId="0" xfId="0" applyFont="1"/>
    <xf numFmtId="0" fontId="3" fillId="2" borderId="5" xfId="0" applyFont="1" applyFill="1" applyBorder="1" applyAlignment="1">
      <alignment horizontal="center" vertical="center" wrapText="1"/>
    </xf>
    <xf numFmtId="0" fontId="1" fillId="0" borderId="21" xfId="0" applyFont="1" applyBorder="1" applyProtection="1">
      <protection locked="0"/>
    </xf>
    <xf numFmtId="49" fontId="1" fillId="0" borderId="21" xfId="0" applyNumberFormat="1" applyFont="1" applyBorder="1" applyAlignment="1" applyProtection="1">
      <alignment horizontal="center"/>
      <protection locked="0"/>
    </xf>
    <xf numFmtId="49" fontId="1" fillId="0" borderId="9" xfId="0" applyNumberFormat="1" applyFont="1" applyBorder="1" applyAlignment="1" applyProtection="1">
      <alignment horizontal="center"/>
      <protection locked="0"/>
    </xf>
    <xf numFmtId="0" fontId="1" fillId="0" borderId="22" xfId="0" applyFont="1" applyBorder="1" applyProtection="1">
      <protection locked="0"/>
    </xf>
    <xf numFmtId="49" fontId="1" fillId="0" borderId="22" xfId="0" applyNumberFormat="1" applyFont="1" applyBorder="1" applyAlignment="1" applyProtection="1">
      <alignment horizontal="center"/>
      <protection locked="0"/>
    </xf>
    <xf numFmtId="49" fontId="1" fillId="0" borderId="23" xfId="0" applyNumberFormat="1" applyFont="1" applyBorder="1" applyAlignment="1" applyProtection="1">
      <alignment horizontal="center"/>
      <protection locked="0"/>
    </xf>
    <xf numFmtId="49" fontId="22" fillId="0" borderId="21" xfId="0" applyNumberFormat="1" applyFont="1" applyBorder="1" applyAlignment="1" applyProtection="1">
      <alignment horizontal="center"/>
      <protection locked="0"/>
    </xf>
    <xf numFmtId="49" fontId="23" fillId="0" borderId="9" xfId="0" applyNumberFormat="1" applyFont="1" applyBorder="1" applyAlignment="1" applyProtection="1">
      <alignment horizontal="center"/>
      <protection locked="0"/>
    </xf>
    <xf numFmtId="49" fontId="22" fillId="0" borderId="9" xfId="0" applyNumberFormat="1" applyFont="1" applyBorder="1" applyAlignment="1" applyProtection="1">
      <alignment horizontal="center"/>
      <protection locked="0"/>
    </xf>
    <xf numFmtId="49" fontId="22" fillId="0" borderId="22" xfId="0" applyNumberFormat="1" applyFont="1" applyBorder="1" applyAlignment="1" applyProtection="1">
      <alignment horizontal="center"/>
      <protection locked="0"/>
    </xf>
    <xf numFmtId="49" fontId="22" fillId="0" borderId="23" xfId="0" applyNumberFormat="1" applyFont="1" applyBorder="1" applyAlignment="1" applyProtection="1">
      <alignment horizontal="center"/>
      <protection locked="0"/>
    </xf>
    <xf numFmtId="0" fontId="0" fillId="0" borderId="21" xfId="0" applyFont="1" applyBorder="1" applyProtection="1">
      <protection locked="0"/>
    </xf>
    <xf numFmtId="167" fontId="0" fillId="0" borderId="0" xfId="0" applyNumberFormat="1"/>
    <xf numFmtId="0" fontId="10" fillId="0" borderId="6" xfId="0" applyFont="1" applyBorder="1" applyAlignment="1">
      <alignment horizontal="center" vertical="top" wrapText="1"/>
    </xf>
    <xf numFmtId="2" fontId="0" fillId="0" borderId="0" xfId="0" applyNumberFormat="1"/>
    <xf numFmtId="0" fontId="5" fillId="0" borderId="0" xfId="0" applyNumberFormat="1" applyFont="1" applyBorder="1" applyAlignment="1">
      <alignment horizontal="center" wrapText="1"/>
    </xf>
    <xf numFmtId="0" fontId="5" fillId="0" borderId="0" xfId="0" applyFont="1" applyAlignment="1"/>
    <xf numFmtId="0" fontId="1" fillId="0" borderId="0" xfId="0" applyFont="1"/>
    <xf numFmtId="0" fontId="20" fillId="2" borderId="24" xfId="0" applyFont="1" applyFill="1" applyBorder="1"/>
    <xf numFmtId="49" fontId="1" fillId="0" borderId="25" xfId="0" applyNumberFormat="1" applyFont="1" applyBorder="1" applyAlignment="1" applyProtection="1">
      <alignment horizontal="center"/>
      <protection locked="0"/>
    </xf>
    <xf numFmtId="0" fontId="0" fillId="2" borderId="26" xfId="0" applyFill="1" applyBorder="1" applyAlignment="1">
      <alignment horizontal="right"/>
    </xf>
    <xf numFmtId="15" fontId="9" fillId="0" borderId="27" xfId="0" applyNumberFormat="1" applyFont="1" applyBorder="1" applyProtection="1">
      <protection locked="0"/>
    </xf>
    <xf numFmtId="15" fontId="0" fillId="2" borderId="20" xfId="0" applyNumberFormat="1" applyFill="1" applyBorder="1" applyAlignment="1">
      <alignment horizontal="left"/>
    </xf>
    <xf numFmtId="0" fontId="1" fillId="2" borderId="28" xfId="0" applyFont="1" applyFill="1" applyBorder="1" applyAlignment="1">
      <alignment horizontal="right"/>
    </xf>
    <xf numFmtId="0" fontId="2" fillId="0" borderId="0" xfId="0" applyFont="1" applyBorder="1" applyAlignment="1" applyProtection="1">
      <alignment vertical="top" wrapText="1"/>
    </xf>
    <xf numFmtId="0" fontId="0" fillId="0" borderId="0" xfId="0" applyAlignment="1"/>
    <xf numFmtId="0" fontId="1" fillId="0" borderId="0" xfId="0" applyFont="1" applyAlignment="1"/>
    <xf numFmtId="0" fontId="1" fillId="0" borderId="0" xfId="0" applyFont="1" applyAlignment="1">
      <alignment wrapText="1"/>
    </xf>
    <xf numFmtId="0" fontId="0" fillId="0" borderId="0" xfId="0" applyProtection="1">
      <protection locked="0"/>
    </xf>
    <xf numFmtId="0" fontId="10"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wrapText="1"/>
      <protection locked="0"/>
    </xf>
    <xf numFmtId="0" fontId="10" fillId="0" borderId="1" xfId="0" applyFont="1" applyBorder="1" applyAlignment="1" applyProtection="1">
      <alignment horizontal="center" vertical="top" wrapText="1"/>
      <protection locked="0"/>
    </xf>
    <xf numFmtId="0" fontId="10" fillId="0" borderId="6" xfId="0" applyFont="1" applyBorder="1" applyAlignment="1" applyProtection="1">
      <alignment horizontal="center" wrapText="1"/>
      <protection locked="0"/>
    </xf>
    <xf numFmtId="0" fontId="3" fillId="0" borderId="6" xfId="0" applyFont="1" applyBorder="1" applyProtection="1">
      <protection locked="0"/>
    </xf>
    <xf numFmtId="0" fontId="10" fillId="0" borderId="6" xfId="0" applyFont="1" applyBorder="1" applyAlignment="1" applyProtection="1">
      <alignment horizontal="center" vertical="center" wrapText="1"/>
      <protection locked="0"/>
    </xf>
    <xf numFmtId="168" fontId="6" fillId="0" borderId="12" xfId="0" applyNumberFormat="1" applyFont="1" applyBorder="1" applyAlignment="1" applyProtection="1">
      <alignment horizontal="center"/>
      <protection locked="0"/>
    </xf>
    <xf numFmtId="0" fontId="26" fillId="0" borderId="0" xfId="0" applyFont="1" applyAlignment="1">
      <alignment horizontal="left" vertical="top" wrapText="1"/>
    </xf>
    <xf numFmtId="0" fontId="25" fillId="0" borderId="0" xfId="0" applyFont="1" applyAlignment="1">
      <alignment horizontal="left"/>
    </xf>
    <xf numFmtId="0" fontId="9" fillId="0" borderId="29" xfId="0" applyFont="1" applyBorder="1" applyAlignment="1" applyProtection="1">
      <alignment horizontal="left"/>
      <protection locked="0"/>
    </xf>
    <xf numFmtId="0" fontId="9" fillId="0" borderId="30" xfId="0" applyFont="1" applyBorder="1" applyAlignment="1" applyProtection="1">
      <alignment horizontal="left"/>
      <protection locked="0"/>
    </xf>
    <xf numFmtId="0" fontId="9" fillId="0" borderId="4" xfId="0" applyFont="1" applyBorder="1" applyAlignment="1" applyProtection="1">
      <alignment horizontal="left"/>
      <protection locked="0"/>
    </xf>
    <xf numFmtId="0" fontId="1" fillId="2" borderId="29" xfId="0" applyFont="1" applyFill="1" applyBorder="1" applyAlignment="1">
      <alignment horizontal="center"/>
    </xf>
    <xf numFmtId="0" fontId="0" fillId="2" borderId="30" xfId="0" applyFill="1" applyBorder="1" applyAlignment="1">
      <alignment horizontal="center"/>
    </xf>
    <xf numFmtId="0" fontId="0" fillId="2" borderId="4" xfId="0" applyFill="1" applyBorder="1" applyAlignment="1">
      <alignment horizontal="center"/>
    </xf>
    <xf numFmtId="0" fontId="21" fillId="0" borderId="0" xfId="0" applyFont="1" applyAlignment="1">
      <alignment horizontal="right"/>
    </xf>
    <xf numFmtId="0" fontId="0" fillId="2" borderId="29" xfId="0" applyFill="1" applyBorder="1" applyAlignment="1">
      <alignment horizontal="center"/>
    </xf>
    <xf numFmtId="0" fontId="4" fillId="0" borderId="30" xfId="0" applyFont="1" applyBorder="1" applyAlignment="1" applyProtection="1">
      <alignment horizontal="left"/>
      <protection locked="0"/>
    </xf>
    <xf numFmtId="0" fontId="6" fillId="0" borderId="30" xfId="0" applyFont="1" applyBorder="1" applyAlignment="1" applyProtection="1">
      <alignment horizontal="left"/>
      <protection locked="0"/>
    </xf>
    <xf numFmtId="0" fontId="0" fillId="0" borderId="12" xfId="0" applyBorder="1" applyAlignment="1" applyProtection="1">
      <alignment horizontal="left"/>
      <protection locked="0"/>
    </xf>
    <xf numFmtId="0" fontId="8" fillId="0" borderId="12" xfId="0" applyFont="1" applyBorder="1" applyAlignment="1" applyProtection="1">
      <alignment horizontal="left"/>
      <protection locked="0"/>
    </xf>
    <xf numFmtId="0" fontId="6" fillId="0" borderId="12" xfId="0" applyFont="1" applyBorder="1" applyProtection="1">
      <protection locked="0"/>
    </xf>
    <xf numFmtId="0" fontId="2" fillId="0" borderId="0" xfId="0" applyFont="1" applyBorder="1" applyAlignment="1" applyProtection="1">
      <alignment horizontal="center" wrapText="1"/>
    </xf>
    <xf numFmtId="0" fontId="6" fillId="0" borderId="0" xfId="0" applyFont="1" applyAlignment="1">
      <alignment horizontal="center" vertical="center"/>
    </xf>
    <xf numFmtId="0" fontId="6" fillId="0" borderId="0" xfId="0" applyFont="1" applyAlignment="1">
      <alignment horizontal="right" vertical="center"/>
    </xf>
    <xf numFmtId="0" fontId="1" fillId="0" borderId="13" xfId="0" applyFont="1" applyBorder="1" applyAlignment="1">
      <alignment horizontal="right" vertical="top"/>
    </xf>
    <xf numFmtId="0" fontId="0" fillId="0" borderId="13" xfId="0" applyBorder="1" applyAlignment="1">
      <alignment horizontal="right" vertical="top"/>
    </xf>
    <xf numFmtId="15" fontId="0" fillId="0" borderId="13" xfId="0" applyNumberFormat="1"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6" fillId="0" borderId="12" xfId="0" applyFont="1" applyBorder="1" applyAlignment="1" applyProtection="1">
      <alignment horizontal="left"/>
      <protection locked="0"/>
    </xf>
    <xf numFmtId="0" fontId="15" fillId="0" borderId="12" xfId="0" applyFont="1" applyBorder="1" applyAlignment="1">
      <alignment horizontal="center" vertical="center"/>
    </xf>
    <xf numFmtId="0" fontId="5" fillId="0" borderId="0" xfId="0" applyFont="1" applyAlignment="1">
      <alignment horizontal="center"/>
    </xf>
    <xf numFmtId="0" fontId="13" fillId="0" borderId="0" xfId="0" applyFont="1" applyAlignment="1">
      <alignment horizontal="center"/>
    </xf>
    <xf numFmtId="0" fontId="6" fillId="0" borderId="0" xfId="0" applyFont="1" applyAlignment="1" applyProtection="1">
      <alignment horizontal="right" vertical="center"/>
    </xf>
    <xf numFmtId="0" fontId="6" fillId="0" borderId="0" xfId="0" applyFont="1" applyAlignment="1">
      <alignment horizontal="center" vertical="center" wrapText="1"/>
    </xf>
    <xf numFmtId="0" fontId="2" fillId="0" borderId="13" xfId="0" applyFont="1" applyBorder="1" applyAlignment="1">
      <alignment horizontal="center" vertical="top"/>
    </xf>
    <xf numFmtId="18" fontId="17" fillId="0" borderId="12" xfId="0" applyNumberFormat="1" applyFont="1" applyBorder="1" applyAlignment="1">
      <alignment horizontal="center" wrapText="1"/>
    </xf>
    <xf numFmtId="0" fontId="13" fillId="0" borderId="0" xfId="0" applyFont="1" applyAlignment="1">
      <alignment horizontal="center" vertical="top"/>
    </xf>
    <xf numFmtId="0" fontId="24" fillId="0" borderId="12" xfId="0" applyFont="1" applyBorder="1" applyAlignment="1" applyProtection="1">
      <alignment horizontal="left"/>
      <protection locked="0"/>
    </xf>
    <xf numFmtId="168" fontId="6" fillId="0" borderId="12" xfId="0" applyNumberFormat="1" applyFont="1" applyBorder="1" applyAlignment="1" applyProtection="1">
      <alignment horizontal="center"/>
      <protection locked="0"/>
    </xf>
    <xf numFmtId="167" fontId="8" fillId="0" borderId="13" xfId="0" applyNumberFormat="1" applyFont="1" applyBorder="1" applyAlignment="1">
      <alignment horizontal="center" vertical="center"/>
    </xf>
    <xf numFmtId="0" fontId="3" fillId="0" borderId="12" xfId="0" applyFont="1" applyFill="1" applyBorder="1" applyAlignment="1" applyProtection="1">
      <alignment horizontal="center" wrapText="1"/>
      <protection locked="0"/>
    </xf>
    <xf numFmtId="168" fontId="6" fillId="0" borderId="12" xfId="0" applyNumberFormat="1" applyFont="1" applyBorder="1" applyAlignment="1" applyProtection="1">
      <alignment horizontal="left"/>
      <protection locked="0"/>
    </xf>
    <xf numFmtId="168" fontId="6" fillId="0" borderId="0" xfId="0" applyNumberFormat="1" applyFont="1" applyBorder="1" applyAlignment="1">
      <alignment horizontal="left" vertical="center"/>
    </xf>
    <xf numFmtId="169" fontId="8" fillId="0" borderId="30" xfId="0" applyNumberFormat="1" applyFont="1" applyBorder="1" applyAlignment="1" applyProtection="1">
      <alignment horizontal="left"/>
      <protection locked="0"/>
    </xf>
    <xf numFmtId="168" fontId="6" fillId="0" borderId="12" xfId="0" applyNumberFormat="1" applyFont="1" applyBorder="1" applyAlignment="1">
      <alignment horizontal="center"/>
    </xf>
    <xf numFmtId="0" fontId="3" fillId="0" borderId="12" xfId="0" applyFont="1" applyFill="1" applyBorder="1" applyAlignment="1" applyProtection="1">
      <alignment horizontal="left" wrapText="1"/>
      <protection locked="0"/>
    </xf>
  </cellXfs>
  <cellStyles count="7">
    <cellStyle name="Normal" xfId="0" builtinId="0"/>
    <cellStyle name="Normal 2" xfId="1"/>
    <cellStyle name="Normal 3" xfId="2"/>
    <cellStyle name="Normal 3 2" xfId="3"/>
    <cellStyle name="Normal 3 2 2" xfId="4"/>
    <cellStyle name="Normal 3 2 3" xfId="5"/>
    <cellStyle name="Normal 4" xfId="6"/>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657225</xdr:colOff>
      <xdr:row>1</xdr:row>
      <xdr:rowOff>228600</xdr:rowOff>
    </xdr:from>
    <xdr:to>
      <xdr:col>11</xdr:col>
      <xdr:colOff>409575</xdr:colOff>
      <xdr:row>5</xdr:row>
      <xdr:rowOff>0</xdr:rowOff>
    </xdr:to>
    <xdr:pic>
      <xdr:nvPicPr>
        <xdr:cNvPr id="3073" name="Picture 3"/>
        <xdr:cNvPicPr>
          <a:picLocks noChangeAspect="1"/>
        </xdr:cNvPicPr>
      </xdr:nvPicPr>
      <xdr:blipFill>
        <a:blip xmlns:r="http://schemas.openxmlformats.org/officeDocument/2006/relationships" r:embed="rId1"/>
        <a:srcRect/>
        <a:stretch>
          <a:fillRect/>
        </a:stretch>
      </xdr:blipFill>
      <xdr:spPr bwMode="auto">
        <a:xfrm>
          <a:off x="9782175" y="495300"/>
          <a:ext cx="1733550" cy="1571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657225</xdr:colOff>
      <xdr:row>1</xdr:row>
      <xdr:rowOff>228600</xdr:rowOff>
    </xdr:from>
    <xdr:to>
      <xdr:col>11</xdr:col>
      <xdr:colOff>409575</xdr:colOff>
      <xdr:row>5</xdr:row>
      <xdr:rowOff>0</xdr:rowOff>
    </xdr:to>
    <xdr:pic>
      <xdr:nvPicPr>
        <xdr:cNvPr id="4097" name="Picture 1"/>
        <xdr:cNvPicPr>
          <a:picLocks noChangeAspect="1"/>
        </xdr:cNvPicPr>
      </xdr:nvPicPr>
      <xdr:blipFill>
        <a:blip xmlns:r="http://schemas.openxmlformats.org/officeDocument/2006/relationships" r:embed="rId1"/>
        <a:srcRect/>
        <a:stretch>
          <a:fillRect/>
        </a:stretch>
      </xdr:blipFill>
      <xdr:spPr bwMode="auto">
        <a:xfrm>
          <a:off x="9782175" y="495300"/>
          <a:ext cx="1733550" cy="1571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657225</xdr:colOff>
      <xdr:row>1</xdr:row>
      <xdr:rowOff>228600</xdr:rowOff>
    </xdr:from>
    <xdr:to>
      <xdr:col>11</xdr:col>
      <xdr:colOff>409575</xdr:colOff>
      <xdr:row>5</xdr:row>
      <xdr:rowOff>0</xdr:rowOff>
    </xdr:to>
    <xdr:pic>
      <xdr:nvPicPr>
        <xdr:cNvPr id="5121" name="Picture 1"/>
        <xdr:cNvPicPr>
          <a:picLocks noChangeAspect="1"/>
        </xdr:cNvPicPr>
      </xdr:nvPicPr>
      <xdr:blipFill>
        <a:blip xmlns:r="http://schemas.openxmlformats.org/officeDocument/2006/relationships" r:embed="rId1"/>
        <a:srcRect/>
        <a:stretch>
          <a:fillRect/>
        </a:stretch>
      </xdr:blipFill>
      <xdr:spPr bwMode="auto">
        <a:xfrm>
          <a:off x="9782175" y="495300"/>
          <a:ext cx="1733550" cy="1571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Z49"/>
  <sheetViews>
    <sheetView showGridLines="0" tabSelected="1" topLeftCell="A4" zoomScale="135" zoomScaleNormal="135" zoomScalePageLayoutView="135" workbookViewId="0">
      <selection activeCell="E21" sqref="E21"/>
    </sheetView>
  </sheetViews>
  <sheetFormatPr defaultColWidth="8.85546875" defaultRowHeight="12.75"/>
  <cols>
    <col min="1" max="1" width="16.42578125" style="2" customWidth="1"/>
    <col min="2" max="2" width="10.7109375" bestFit="1" customWidth="1"/>
    <col min="3" max="3" width="8.85546875" style="3" hidden="1" customWidth="1"/>
    <col min="4" max="4" width="8.28515625" customWidth="1"/>
    <col min="5" max="5" width="17" bestFit="1" customWidth="1"/>
    <col min="6" max="6" width="18" bestFit="1" customWidth="1"/>
    <col min="7" max="7" width="23.42578125" customWidth="1"/>
    <col min="8" max="8" width="25.140625" bestFit="1" customWidth="1"/>
    <col min="9" max="11" width="31.140625" customWidth="1"/>
    <col min="12" max="15" width="17.85546875" hidden="1" customWidth="1"/>
  </cols>
  <sheetData>
    <row r="1" spans="1:26" ht="20.100000000000001" customHeight="1">
      <c r="A1" s="114" t="s">
        <v>83</v>
      </c>
      <c r="B1" s="114"/>
      <c r="C1" s="114"/>
      <c r="D1" s="114"/>
      <c r="E1" s="114"/>
      <c r="F1" s="114"/>
      <c r="G1" s="114"/>
      <c r="H1" s="114"/>
      <c r="I1" s="103" t="s">
        <v>85</v>
      </c>
      <c r="Q1" s="113" t="s">
        <v>86</v>
      </c>
      <c r="R1" s="113"/>
      <c r="S1" s="113"/>
      <c r="T1" s="113"/>
      <c r="U1" s="113"/>
      <c r="V1" s="113"/>
      <c r="W1" s="113"/>
      <c r="X1" s="113"/>
      <c r="Y1" s="113"/>
      <c r="Z1" s="113"/>
    </row>
    <row r="2" spans="1:26" ht="12.95" customHeight="1" thickBot="1">
      <c r="H2" s="104"/>
      <c r="I2" s="104"/>
      <c r="Q2" s="113"/>
      <c r="R2" s="113"/>
      <c r="S2" s="113"/>
      <c r="T2" s="113"/>
      <c r="U2" s="113"/>
      <c r="V2" s="113"/>
      <c r="W2" s="113"/>
      <c r="X2" s="113"/>
      <c r="Y2" s="113"/>
      <c r="Z2" s="113"/>
    </row>
    <row r="3" spans="1:26" ht="12.95" customHeight="1">
      <c r="A3" s="100" t="s">
        <v>82</v>
      </c>
      <c r="B3" s="99">
        <v>44674</v>
      </c>
      <c r="C3" s="102"/>
      <c r="D3" s="102"/>
      <c r="G3" s="102"/>
      <c r="H3" s="104"/>
      <c r="I3" s="104"/>
      <c r="Q3" s="113"/>
      <c r="R3" s="113"/>
      <c r="S3" s="113"/>
      <c r="T3" s="113"/>
      <c r="U3" s="113"/>
      <c r="V3" s="113"/>
      <c r="W3" s="113"/>
      <c r="X3" s="113"/>
      <c r="Y3" s="113"/>
      <c r="Z3" s="113"/>
    </row>
    <row r="4" spans="1:26" ht="13.5" thickBot="1">
      <c r="H4" s="104"/>
      <c r="I4" s="104"/>
      <c r="Q4" s="113"/>
      <c r="R4" s="113"/>
      <c r="S4" s="113"/>
      <c r="T4" s="113"/>
      <c r="U4" s="113"/>
      <c r="V4" s="113"/>
      <c r="W4" s="113"/>
      <c r="X4" s="113"/>
      <c r="Y4" s="113"/>
      <c r="Z4" s="113"/>
    </row>
    <row r="5" spans="1:26" ht="18">
      <c r="A5" s="11" t="s">
        <v>18</v>
      </c>
      <c r="B5" s="71">
        <v>200</v>
      </c>
      <c r="C5">
        <f ca="1">IF(Brevet_Length&gt;=1200,Brevet_Length,IF(Brevet_Length&gt;=1000,1000,IF(Brevet_Length&gt;=600,600,IF(Brevet_Length&gt;=400,400,IF(Brevet_Length&gt;=300,300,IF(Brevet_Length&gt;=200,200,100))))))</f>
        <v>200</v>
      </c>
      <c r="J5" s="121" t="s">
        <v>63</v>
      </c>
      <c r="K5" s="121"/>
      <c r="Q5" s="75" t="s">
        <v>64</v>
      </c>
      <c r="R5" s="75"/>
      <c r="S5" s="75"/>
      <c r="T5" s="75"/>
      <c r="U5" s="75"/>
      <c r="V5" s="75"/>
      <c r="W5" s="75"/>
    </row>
    <row r="6" spans="1:26" ht="13.5" thickBot="1">
      <c r="A6" s="12" t="s">
        <v>19</v>
      </c>
      <c r="B6" s="13">
        <f ca="1">IF(brevet=1200,90,IF(brevet=1000,75,IF(brevet=600,40,IF(brevet=400,27,IF(brevet=300,20,IF(brevet=200,13.5,IF(brevet=100,7,0)))))))</f>
        <v>13.5</v>
      </c>
      <c r="Q6" t="s">
        <v>65</v>
      </c>
    </row>
    <row r="7" spans="1:26" ht="18.75" thickBot="1">
      <c r="A7" s="12" t="s">
        <v>20</v>
      </c>
      <c r="B7" s="115" t="s">
        <v>93</v>
      </c>
      <c r="C7" s="116"/>
      <c r="D7" s="116"/>
      <c r="E7" s="116"/>
      <c r="F7" s="116"/>
      <c r="G7" s="116"/>
      <c r="H7" s="117"/>
      <c r="I7" s="29"/>
      <c r="J7" s="29"/>
      <c r="K7" s="29"/>
      <c r="O7" s="30"/>
      <c r="P7" s="30"/>
      <c r="Q7" s="75" t="s">
        <v>66</v>
      </c>
    </row>
    <row r="8" spans="1:26" ht="18">
      <c r="A8" s="12" t="s">
        <v>21</v>
      </c>
      <c r="B8" s="72">
        <v>5249</v>
      </c>
      <c r="C8" s="26"/>
      <c r="F8" s="27"/>
      <c r="G8" s="27"/>
      <c r="H8" s="27"/>
      <c r="I8" s="27"/>
      <c r="J8" s="27"/>
      <c r="K8" s="27"/>
      <c r="Q8" s="75" t="s">
        <v>67</v>
      </c>
    </row>
    <row r="9" spans="1:26" ht="18">
      <c r="A9" s="50" t="s">
        <v>48</v>
      </c>
      <c r="B9" s="73">
        <v>45115</v>
      </c>
      <c r="Q9" s="75" t="s">
        <v>68</v>
      </c>
    </row>
    <row r="10" spans="1:26" ht="6" customHeight="1">
      <c r="B10" s="105"/>
    </row>
    <row r="11" spans="1:26" ht="18" customHeight="1" thickBot="1">
      <c r="A11" s="97" t="s">
        <v>22</v>
      </c>
      <c r="B11" s="98">
        <v>45115</v>
      </c>
      <c r="Q11" s="75" t="s">
        <v>76</v>
      </c>
    </row>
    <row r="12" spans="1:26" ht="18.75" thickBot="1">
      <c r="A12" s="10" t="s">
        <v>23</v>
      </c>
      <c r="B12" s="74">
        <v>0.29166666666666669</v>
      </c>
      <c r="D12" s="118" t="s">
        <v>81</v>
      </c>
      <c r="E12" s="119"/>
      <c r="F12" s="119"/>
      <c r="G12" s="119"/>
      <c r="H12" s="119"/>
      <c r="I12" s="122" t="s">
        <v>71</v>
      </c>
      <c r="J12" s="119"/>
      <c r="K12" s="120"/>
      <c r="Q12" s="75" t="s">
        <v>75</v>
      </c>
    </row>
    <row r="13" spans="1:26" ht="13.5" thickBot="1">
      <c r="D13" s="6" t="s">
        <v>24</v>
      </c>
      <c r="E13" s="7" t="s">
        <v>25</v>
      </c>
      <c r="F13" s="65" t="s">
        <v>26</v>
      </c>
      <c r="G13" s="65" t="s">
        <v>27</v>
      </c>
      <c r="H13" s="66" t="s">
        <v>28</v>
      </c>
      <c r="I13" s="7" t="s">
        <v>60</v>
      </c>
      <c r="J13" s="7" t="s">
        <v>61</v>
      </c>
      <c r="K13" s="8" t="s">
        <v>62</v>
      </c>
      <c r="L13" t="s">
        <v>3</v>
      </c>
      <c r="M13" t="s">
        <v>4</v>
      </c>
      <c r="N13" t="s">
        <v>5</v>
      </c>
      <c r="O13" t="s">
        <v>6</v>
      </c>
      <c r="Q13" s="75" t="s">
        <v>69</v>
      </c>
    </row>
    <row r="14" spans="1:26" ht="17.100000000000001" customHeight="1">
      <c r="C14" s="3" t="s">
        <v>7</v>
      </c>
      <c r="D14" s="28">
        <v>0</v>
      </c>
      <c r="E14" s="77" t="s">
        <v>87</v>
      </c>
      <c r="F14" s="105"/>
      <c r="G14" s="78" t="s">
        <v>88</v>
      </c>
      <c r="H14" s="79" t="s">
        <v>96</v>
      </c>
      <c r="I14" s="83"/>
      <c r="J14" s="83"/>
      <c r="K14" s="84"/>
      <c r="L14" s="4">
        <f ca="1">Start_date+Start_time</f>
        <v>45115.291666666664</v>
      </c>
      <c r="M14" s="4">
        <f ca="1">L14+"1:00"</f>
        <v>45115.333333333328</v>
      </c>
      <c r="N14" s="5">
        <f ca="1">IF(ISBLANK(Distance),"",Open Control_1)</f>
        <v>45115.291666666664</v>
      </c>
      <c r="O14" s="5">
        <f ca="1">IF(ISBLANK(Distance),"",Close Control_1)</f>
        <v>45115.333333333328</v>
      </c>
      <c r="Q14" s="75" t="s">
        <v>84</v>
      </c>
    </row>
    <row r="15" spans="1:26" ht="17.100000000000001" customHeight="1">
      <c r="B15" s="89"/>
      <c r="C15" s="3" t="s">
        <v>8</v>
      </c>
      <c r="D15" s="28">
        <v>38.299999999999997</v>
      </c>
      <c r="E15" s="77" t="s">
        <v>89</v>
      </c>
      <c r="F15" s="78"/>
      <c r="G15" s="78" t="s">
        <v>112</v>
      </c>
      <c r="H15" s="79" t="s">
        <v>111</v>
      </c>
      <c r="I15" s="83" t="s">
        <v>110</v>
      </c>
      <c r="J15" s="83"/>
      <c r="K15" s="84"/>
      <c r="L15">
        <f ca="1">IF(ISBLANK(Distance),"",IF(Distance&gt;1000,(Distance-1000)/26+33.0847,(IF(Distance&gt;600,(Distance-600)/28+18.799,(IF(Distance&gt;400,(Distance-400)/30+12.1324,(IF(Distance&gt;200,(Distance-200)/32+5.8824,Distance/34))))))))</f>
        <v>1.1264705882352941</v>
      </c>
      <c r="M15">
        <f t="shared" ref="M15:M23" ca="1" si="0">IF(ISBLANK(Distance),"",IF(Distance&gt;=brevet,IF(brevet&gt;1200,(brevet-1200)*75/1000+90,Max_time),IF(Distance&gt;1200,(Distance-1200)*75/1000+90,IF(Distance&gt;1000,(Distance-1000)/(1000/75)+75,IF(Distance&gt;600,(Distance-600)/(400/35)+40,IF(Distance&lt;=60,(Distance/20+1),Distance/15))))))</f>
        <v>2.915</v>
      </c>
      <c r="N15" s="5">
        <f ca="1">IF(ISBLANK(Distance),"",Open_time Control_1+(INT(Open)&amp;":"&amp;IF(ROUND(((Open-INT(Open))*60),0)&lt;10,0,"")&amp;ROUND(((Open-INT(Open))*60),0)))</f>
        <v>45115.338888888888</v>
      </c>
      <c r="O15" s="5">
        <f ca="1">IF(ISBLANK(Distance),"",Open_time Control_1+(INT(Close)&amp;":"&amp;IF(ROUND(((Close-INT(Close))*60),0)&lt;10,0,"")&amp;ROUND(((Close-INT(Close))*60),0)))</f>
        <v>45115.413194444445</v>
      </c>
      <c r="Q15" s="75" t="s">
        <v>70</v>
      </c>
    </row>
    <row r="16" spans="1:26" ht="17.100000000000001" customHeight="1">
      <c r="B16" s="89"/>
      <c r="C16" s="3" t="s">
        <v>9</v>
      </c>
      <c r="D16" s="28">
        <v>100.3</v>
      </c>
      <c r="E16" s="77" t="s">
        <v>90</v>
      </c>
      <c r="F16" s="78"/>
      <c r="G16" s="78" t="s">
        <v>106</v>
      </c>
      <c r="H16" s="79" t="s">
        <v>107</v>
      </c>
      <c r="I16" s="83" t="s">
        <v>108</v>
      </c>
      <c r="J16" s="83"/>
      <c r="K16" s="84"/>
      <c r="L16">
        <f ca="1">IF(ISBLANK(Distance),"",IF(Distance&gt;1000,(Distance-1000)/26+33.0847,(IF(Distance&gt;600,(Distance-600)/28+18.799,(IF(Distance&gt;400,(Distance-400)/30+12.1324,(IF(Distance&gt;200,(Distance-200)/32+5.8824,Distance/34))))))))</f>
        <v>2.9499999999999997</v>
      </c>
      <c r="M16">
        <f t="shared" ca="1" si="0"/>
        <v>6.6866666666666665</v>
      </c>
      <c r="N16" s="5">
        <f ca="1">IF(ISBLANK(Distance),"",Open_time Control_1+(INT(Open)&amp;":"&amp;IF(ROUND(((Open-INT(Open))*60),0)&lt;10,0,"")&amp;ROUND(((Open-INT(Open))*60),0)))</f>
        <v>45115.414583333331</v>
      </c>
      <c r="O16" s="5">
        <f ca="1">IF(ISBLANK(Distance),"",Open_time Control_1+(INT(Close)&amp;":"&amp;IF(ROUND(((Close-INT(Close))*60),0)&lt;10,0,"")&amp;ROUND(((Close-INT(Close))*60),0)))</f>
        <v>45115.570138888885</v>
      </c>
    </row>
    <row r="17" spans="2:17" ht="17.100000000000001" customHeight="1">
      <c r="B17" s="89"/>
      <c r="C17" s="3" t="s">
        <v>10</v>
      </c>
      <c r="D17" s="28">
        <v>134.5</v>
      </c>
      <c r="E17" s="77" t="s">
        <v>91</v>
      </c>
      <c r="F17" s="78" t="s">
        <v>114</v>
      </c>
      <c r="G17" s="78" t="s">
        <v>92</v>
      </c>
      <c r="H17" s="79"/>
      <c r="I17" s="83"/>
      <c r="J17" s="83"/>
      <c r="K17" s="84"/>
      <c r="L17">
        <f t="shared" ref="L17:L23" ca="1" si="1">IF(ISBLANK(Distance),"",IF(Distance&gt;1000,(Distance-1000)/26+33.0847,(IF(Distance&gt;600,(Distance-600)/28+18.799,(IF(Distance&gt;400,(Distance-400)/30+12.1324,(IF(Distance&gt;200,(Distance-200)/32+5.8824,Distance/34))))))))</f>
        <v>3.9558823529411766</v>
      </c>
      <c r="M17">
        <f t="shared" ca="1" si="0"/>
        <v>8.9666666666666668</v>
      </c>
      <c r="N17" s="5">
        <f ca="1">IF(ISBLANK(Distance),"",Open_time Control_1+(INT(Open)&amp;":"&amp;IF(ROUND(((Open-INT(Open))*60),0)&lt;10,0,"")&amp;ROUND(((Open-INT(Open))*60),0)))</f>
        <v>45115.456249999996</v>
      </c>
      <c r="O17" s="5">
        <f ca="1">IF(ISBLANK(Distance),"",Open_time Control_1+(INT(Close)&amp;":"&amp;IF(ROUND(((Close-INT(Close))*60),0)&lt;10,0,"")&amp;ROUND(((Close-INT(Close))*60),0)))</f>
        <v>45115.665277777778</v>
      </c>
    </row>
    <row r="18" spans="2:17" ht="17.100000000000001" customHeight="1">
      <c r="B18" s="89"/>
      <c r="C18" s="3" t="s">
        <v>11</v>
      </c>
      <c r="D18" s="28">
        <v>157.6</v>
      </c>
      <c r="E18" s="77" t="s">
        <v>94</v>
      </c>
      <c r="F18" s="78"/>
      <c r="G18" s="78" t="s">
        <v>95</v>
      </c>
      <c r="H18" s="79"/>
      <c r="I18" s="83" t="s">
        <v>113</v>
      </c>
      <c r="J18" s="83"/>
      <c r="K18" s="85"/>
      <c r="L18">
        <f t="shared" ca="1" si="1"/>
        <v>4.6352941176470583</v>
      </c>
      <c r="M18">
        <f t="shared" ca="1" si="0"/>
        <v>10.506666666666666</v>
      </c>
      <c r="N18" s="5">
        <f ca="1">IF(ISBLANK(Distance),"",Open_time Control_1+(INT(Open)&amp;":"&amp;IF(ROUND(((Open-INT(Open))*60),0)&lt;10,0,"")&amp;ROUND(((Open-INT(Open))*60),0)))</f>
        <v>45115.484722222223</v>
      </c>
      <c r="O18" s="5">
        <f ca="1">IF(ISBLANK(Distance),"",Open_time Control_1+(INT(Close)&amp;":"&amp;IF(ROUND(((Close-INT(Close))*60),0)&lt;10,0,"")&amp;ROUND(((Close-INT(Close))*60),0)))</f>
        <v>45115.729166666664</v>
      </c>
      <c r="Q18" s="94"/>
    </row>
    <row r="19" spans="2:17" ht="17.100000000000001" customHeight="1">
      <c r="B19" s="89"/>
      <c r="C19" s="3" t="s">
        <v>12</v>
      </c>
      <c r="D19" s="28">
        <v>178.7</v>
      </c>
      <c r="E19" s="77" t="s">
        <v>101</v>
      </c>
      <c r="F19" s="78" t="s">
        <v>103</v>
      </c>
      <c r="G19" s="78" t="s">
        <v>104</v>
      </c>
      <c r="H19" s="79"/>
      <c r="I19" s="83" t="s">
        <v>105</v>
      </c>
      <c r="J19" s="83"/>
      <c r="K19" s="84"/>
      <c r="L19">
        <f t="shared" ca="1" si="1"/>
        <v>5.2558823529411764</v>
      </c>
      <c r="M19">
        <f t="shared" ca="1" si="0"/>
        <v>11.913333333333332</v>
      </c>
      <c r="N19" s="5">
        <f ca="1">IF(ISBLANK(Distance),"",Open_time Control_1+(INT(Open)&amp;":"&amp;IF(ROUND(((Open-INT(Open))*60),0)&lt;10,0,"")&amp;ROUND(((Open-INT(Open))*60),0)))</f>
        <v>45115.510416666664</v>
      </c>
      <c r="O19" s="5">
        <f ca="1">IF(ISBLANK(Distance),"",Open_time Control_1+(INT(Close)&amp;":"&amp;IF(ROUND(((Close-INT(Close))*60),0)&lt;10,0,"")&amp;ROUND(((Close-INT(Close))*60),0)))</f>
        <v>45115.788194444445</v>
      </c>
    </row>
    <row r="20" spans="2:17" ht="17.100000000000001" customHeight="1">
      <c r="B20" s="89"/>
      <c r="C20" s="3" t="s">
        <v>13</v>
      </c>
      <c r="D20" s="28">
        <v>198.8</v>
      </c>
      <c r="E20" s="77" t="s">
        <v>99</v>
      </c>
      <c r="F20" s="78" t="s">
        <v>98</v>
      </c>
      <c r="G20" s="78" t="s">
        <v>102</v>
      </c>
      <c r="H20" s="79"/>
      <c r="I20" s="83" t="s">
        <v>109</v>
      </c>
      <c r="J20" s="83"/>
      <c r="K20" s="84"/>
      <c r="L20">
        <f t="shared" ca="1" si="1"/>
        <v>5.8470588235294123</v>
      </c>
      <c r="M20">
        <f t="shared" ca="1" si="0"/>
        <v>13.253333333333334</v>
      </c>
      <c r="N20" s="5">
        <f ca="1">IF(ISBLANK(Distance),"",Open_time Control_1+(INT(Open)&amp;":"&amp;IF(ROUND(((Open-INT(Open))*60),0)&lt;10,0,"")&amp;ROUND(((Open-INT(Open))*60),0)))</f>
        <v>45115.535416666666</v>
      </c>
      <c r="O20" s="5">
        <f ca="1">IF(ISBLANK(Distance),"",Open_time Control_1+(INT(Close)&amp;":"&amp;IF(ROUND(((Close-INT(Close))*60),0)&lt;10,0,"")&amp;ROUND(((Close-INT(Close))*60),0)))</f>
        <v>45115.84375</v>
      </c>
    </row>
    <row r="21" spans="2:17" ht="17.100000000000001" customHeight="1">
      <c r="B21" s="89"/>
      <c r="C21" s="3" t="s">
        <v>14</v>
      </c>
      <c r="D21" s="28">
        <v>201.5</v>
      </c>
      <c r="E21" s="77" t="s">
        <v>100</v>
      </c>
      <c r="F21" s="78"/>
      <c r="G21" s="78" t="s">
        <v>97</v>
      </c>
      <c r="H21" s="79"/>
      <c r="I21" s="83"/>
      <c r="J21" s="83"/>
      <c r="K21" s="84"/>
      <c r="L21">
        <f t="shared" ca="1" si="1"/>
        <v>5.9292749999999996</v>
      </c>
      <c r="M21">
        <f t="shared" ca="1" si="0"/>
        <v>13.5</v>
      </c>
      <c r="N21" s="5">
        <f ca="1">IF(ISBLANK(Distance),"",Open_time Control_1+(INT(Open)&amp;":"&amp;IF(ROUND(((Open-INT(Open))*60),0)&lt;10,0,"")&amp;ROUND(((Open-INT(Open))*60),0)))</f>
        <v>45115.538888888885</v>
      </c>
      <c r="O21" s="5">
        <f ca="1">IF(ISBLANK(Distance),"",Open_time Control_1+(INT(Close)&amp;":"&amp;IF(ROUND(((Close-INT(Close))*60),0)&lt;10,0,"")&amp;ROUND(((Close-INT(Close))*60),0)))</f>
        <v>45115.854166666664</v>
      </c>
    </row>
    <row r="22" spans="2:17" ht="17.100000000000001" customHeight="1">
      <c r="B22" s="89"/>
      <c r="C22" s="3" t="s">
        <v>15</v>
      </c>
      <c r="D22" s="28"/>
      <c r="E22" s="77"/>
      <c r="F22" s="78"/>
      <c r="G22" s="78"/>
      <c r="H22" s="79"/>
      <c r="I22" s="83"/>
      <c r="J22" s="83"/>
      <c r="K22" s="85"/>
      <c r="L22" t="str">
        <f t="shared" ca="1" si="1"/>
        <v/>
      </c>
      <c r="M22" t="str">
        <f t="shared" ca="1" si="0"/>
        <v/>
      </c>
      <c r="N22" s="5" t="str">
        <f ca="1">IF(ISBLANK(Distance),"",Open_time Control_1+(INT(Open)&amp;":"&amp;IF(ROUND(((Open-INT(Open))*60),0)&lt;10,0,"")&amp;ROUND(((Open-INT(Open))*60),0)))</f>
        <v/>
      </c>
      <c r="O22" s="5" t="str">
        <f ca="1">IF(ISBLANK(Distance),"",Open_time Control_1+(INT(Close)&amp;":"&amp;IF(ROUND(((Close-INT(Close))*60),0)&lt;10,0,"")&amp;ROUND(((Close-INT(Close))*60),0)))</f>
        <v/>
      </c>
    </row>
    <row r="23" spans="2:17" ht="17.100000000000001" customHeight="1" thickBot="1">
      <c r="B23" s="89"/>
      <c r="C23" s="3" t="s">
        <v>16</v>
      </c>
      <c r="D23" s="54"/>
      <c r="E23" s="80"/>
      <c r="F23" s="81"/>
      <c r="G23" s="81"/>
      <c r="H23" s="82"/>
      <c r="I23" s="86"/>
      <c r="J23" s="86"/>
      <c r="K23" s="87"/>
      <c r="L23" t="str">
        <f t="shared" ca="1" si="1"/>
        <v/>
      </c>
      <c r="M23" t="str">
        <f t="shared" ca="1" si="0"/>
        <v/>
      </c>
      <c r="N23" s="5" t="str">
        <f ca="1">IF(ISBLANK(Distance),"",Open_time Control_1+(INT(Open)&amp;":"&amp;IF(ROUND(((Open-INT(Open))*60),0)&lt;10,0,"")&amp;ROUND(((Open-INT(Open))*60),0)))</f>
        <v/>
      </c>
      <c r="O23" s="5" t="str">
        <f ca="1">IF(ISBLANK(Distance),"",Open_time Control_1+(INT(Close)&amp;":"&amp;IF(ROUND(((Close-INT(Close))*60),0)&lt;10,0,"")&amp;ROUND(((Close-INT(Close))*60),0)))</f>
        <v/>
      </c>
    </row>
    <row r="24" spans="2:17" ht="6.95" customHeight="1" thickBot="1">
      <c r="D24" s="67"/>
      <c r="E24" s="68"/>
      <c r="F24" s="69"/>
      <c r="G24" s="69"/>
      <c r="H24" s="69"/>
      <c r="I24" s="69"/>
      <c r="J24" s="69"/>
      <c r="K24" s="70"/>
      <c r="N24" s="5"/>
      <c r="O24" s="5"/>
    </row>
    <row r="25" spans="2:17" ht="13.5" thickBot="1">
      <c r="D25" s="118" t="s">
        <v>77</v>
      </c>
      <c r="E25" s="119"/>
      <c r="F25" s="119"/>
      <c r="G25" s="119"/>
      <c r="H25" s="119"/>
      <c r="I25" s="122" t="s">
        <v>72</v>
      </c>
      <c r="J25" s="119"/>
      <c r="K25" s="120"/>
    </row>
    <row r="26" spans="2:17" ht="13.5" thickBot="1">
      <c r="D26" s="6" t="s">
        <v>24</v>
      </c>
      <c r="E26" s="7" t="s">
        <v>25</v>
      </c>
      <c r="F26" s="65" t="s">
        <v>26</v>
      </c>
      <c r="G26" s="65" t="s">
        <v>27</v>
      </c>
      <c r="H26" s="66" t="s">
        <v>28</v>
      </c>
      <c r="I26" s="7" t="s">
        <v>60</v>
      </c>
      <c r="J26" s="7" t="s">
        <v>61</v>
      </c>
      <c r="K26" s="8" t="s">
        <v>62</v>
      </c>
      <c r="L26" t="s">
        <v>3</v>
      </c>
      <c r="M26" t="s">
        <v>4</v>
      </c>
      <c r="N26" t="s">
        <v>5</v>
      </c>
      <c r="O26" t="s">
        <v>6</v>
      </c>
    </row>
    <row r="27" spans="2:17" ht="15.75">
      <c r="D27" s="28"/>
      <c r="E27" s="77"/>
      <c r="F27" s="78"/>
      <c r="G27" s="78"/>
      <c r="H27" s="79"/>
      <c r="I27" s="83"/>
      <c r="J27" s="83"/>
      <c r="K27" s="84"/>
      <c r="L27" t="str">
        <f>IF(ISBLANK(D27),"",IF(D27&gt;1000,(D27-1000)/26+33.0847,(IF(D27&gt;600,(D27-600)/28+18.799,(IF(D27&gt;400,(D27-400)/30+12.1324,(IF(D27&gt;200,(D27-200)/32+5.8824,D27/34))))))))</f>
        <v/>
      </c>
      <c r="M27" t="str">
        <f t="shared" ref="M27:M36" ca="1" si="2">IF(ISBLANK(D27),"",IF((D27=0),1,IF(D27&gt;=brevet,IF(brevet&gt;1200,(brevet-1200)*75/1000+90,Max_time),IF(D27&gt;1200,(D27-1200)*75/1000+90,IF(D27&gt;1000,(D27-1000)/(1000/75)+75,IF(D27&gt;600,(D27-600)/(400/35)+40,IF(D27&lt;=60,D27/20+1,D27/15)))))))</f>
        <v/>
      </c>
      <c r="N27" s="5" t="str">
        <f ca="1">IF(ISBLANK(D27),"",Open_time Control_1+(INT(L27)&amp;":"&amp;IF(ROUND(((L27-INT(L27))*60),0)&lt;10,0,"")&amp;ROUND(((L27-INT(L27))*60),0)))</f>
        <v/>
      </c>
      <c r="O27" s="5" t="str">
        <f ca="1">IF(ISBLANK(D27),"",Open_time Control_1+(INT(M27)&amp;":"&amp;IF(ROUND(((M27-INT(M27))*60),0)&lt;10,0,"")&amp;ROUND(((M27-INT(M27))*60),0)))</f>
        <v/>
      </c>
    </row>
    <row r="28" spans="2:17" ht="17.100000000000001" customHeight="1">
      <c r="D28" s="28"/>
      <c r="E28" s="77"/>
      <c r="F28" s="78"/>
      <c r="G28" s="78"/>
      <c r="H28" s="79"/>
      <c r="I28" s="83"/>
      <c r="J28" s="83"/>
      <c r="K28" s="85"/>
      <c r="L28" t="str">
        <f t="shared" ref="L28:L36" si="3">IF(ISBLANK(D28),"",IF(D28&gt;1000,(D28-1000)/26+33.0847,(IF(D28&gt;600,(D28-600)/28+18.799,(IF(D28&gt;400,(D28-400)/30+12.1324,(IF(D28&gt;200,(D28-200)/32+5.8824,D28/34))))))))</f>
        <v/>
      </c>
      <c r="M28" t="str">
        <f t="shared" ca="1" si="2"/>
        <v/>
      </c>
      <c r="N28" s="5" t="str">
        <f ca="1">IF(ISBLANK(D28),"",Open_time Control_1+(INT(L28)&amp;":"&amp;IF(ROUND(((L28-INT(L28))*60),0)&lt;10,0,"")&amp;ROUND(((L28-INT(L28))*60),0)))</f>
        <v/>
      </c>
      <c r="O28" s="5" t="str">
        <f ca="1">IF(ISBLANK(D28),"",Open_time Control_1+(INT(M28)&amp;":"&amp;IF(ROUND(((M28-INT(M28))*60),0)&lt;10,0,"")&amp;ROUND(((M28-INT(M28))*60),0)))</f>
        <v/>
      </c>
    </row>
    <row r="29" spans="2:17" ht="17.100000000000001" customHeight="1">
      <c r="D29" s="28"/>
      <c r="E29" s="77"/>
      <c r="F29" s="78"/>
      <c r="G29" s="78"/>
      <c r="H29" s="79"/>
      <c r="I29" s="83"/>
      <c r="J29" s="83"/>
      <c r="K29" s="85"/>
      <c r="L29" t="str">
        <f t="shared" si="3"/>
        <v/>
      </c>
      <c r="M29" t="str">
        <f t="shared" ca="1" si="2"/>
        <v/>
      </c>
      <c r="N29" s="5" t="str">
        <f ca="1">IF(ISBLANK(D29),"",Open_time Control_1+(INT(L29)&amp;":"&amp;IF(ROUND(((L29-INT(L29))*60),0)&lt;10,0,"")&amp;ROUND(((L29-INT(L29))*60),0)))</f>
        <v/>
      </c>
      <c r="O29" s="5" t="str">
        <f ca="1">IF(ISBLANK(D29),"",Open_time Control_1+(INT(M29)&amp;":"&amp;IF(ROUND(((M29-INT(M29))*60),0)&lt;10,0,"")&amp;ROUND(((M29-INT(M29))*60),0)))</f>
        <v/>
      </c>
    </row>
    <row r="30" spans="2:17" ht="17.100000000000001" customHeight="1">
      <c r="D30" s="28"/>
      <c r="E30" s="77"/>
      <c r="F30" s="78"/>
      <c r="G30" s="78"/>
      <c r="H30" s="79"/>
      <c r="I30" s="83"/>
      <c r="J30" s="83"/>
      <c r="K30" s="84"/>
      <c r="L30" t="str">
        <f t="shared" si="3"/>
        <v/>
      </c>
      <c r="M30" t="str">
        <f t="shared" ca="1" si="2"/>
        <v/>
      </c>
      <c r="N30" s="5" t="str">
        <f ca="1">IF(ISBLANK(D30),"",Open_time Control_1+(INT(L30)&amp;":"&amp;IF(ROUND(((L30-INT(L30))*60),0)&lt;10,0,"")&amp;ROUND(((L30-INT(L30))*60),0)))</f>
        <v/>
      </c>
      <c r="O30" s="5" t="str">
        <f ca="1">IF(ISBLANK(D30),"",Open_time Control_1+(INT(M30)&amp;":"&amp;IF(ROUND(((M30-INT(M30))*60),0)&lt;10,0,"")&amp;ROUND(((M30-INT(M30))*60),0)))</f>
        <v/>
      </c>
    </row>
    <row r="31" spans="2:17" ht="17.100000000000001" customHeight="1">
      <c r="D31" s="28"/>
      <c r="E31" s="77"/>
      <c r="F31" s="78"/>
      <c r="G31" s="78"/>
      <c r="H31" s="79"/>
      <c r="I31" s="83"/>
      <c r="J31" s="83"/>
      <c r="K31" s="84"/>
      <c r="L31" t="str">
        <f t="shared" si="3"/>
        <v/>
      </c>
      <c r="M31" t="str">
        <f t="shared" ca="1" si="2"/>
        <v/>
      </c>
      <c r="N31" s="5" t="str">
        <f ca="1">IF(ISBLANK(D31),"",Open_time Control_1+(INT(L31)&amp;":"&amp;IF(ROUND(((L31-INT(L31))*60),0)&lt;10,0,"")&amp;ROUND(((L31-INT(L31))*60),0)))</f>
        <v/>
      </c>
      <c r="O31" s="5" t="str">
        <f ca="1">IF(ISBLANK(D31),"",Open_time Control_1+(INT(M31)&amp;":"&amp;IF(ROUND(((M31-INT(M31))*60),0)&lt;10,0,"")&amp;ROUND(((M31-INT(M31))*60),0)))</f>
        <v/>
      </c>
    </row>
    <row r="32" spans="2:17" ht="17.100000000000001" customHeight="1">
      <c r="D32" s="28"/>
      <c r="E32" s="77"/>
      <c r="F32" s="78"/>
      <c r="G32" s="78"/>
      <c r="H32" s="79"/>
      <c r="I32" s="83"/>
      <c r="J32" s="83"/>
      <c r="K32" s="84"/>
      <c r="L32" t="str">
        <f t="shared" si="3"/>
        <v/>
      </c>
      <c r="M32" t="str">
        <f t="shared" ca="1" si="2"/>
        <v/>
      </c>
      <c r="N32" s="5" t="str">
        <f ca="1">IF(ISBLANK(D32),"",Open_time Control_1+(INT(L32)&amp;":"&amp;IF(ROUND(((L32-INT(L32))*60),0)&lt;10,0,"")&amp;ROUND(((L32-INT(L32))*60),0)))</f>
        <v/>
      </c>
      <c r="O32" s="5" t="str">
        <f ca="1">IF(ISBLANK(D32),"",Open_time Control_1+(INT(M32)&amp;":"&amp;IF(ROUND(((M32-INT(M32))*60),0)&lt;10,0,"")&amp;ROUND(((M32-INT(M32))*60),0)))</f>
        <v/>
      </c>
    </row>
    <row r="33" spans="4:15" ht="17.100000000000001" customHeight="1">
      <c r="D33" s="28"/>
      <c r="E33" s="77"/>
      <c r="F33" s="78"/>
      <c r="G33" s="78"/>
      <c r="H33" s="79"/>
      <c r="I33" s="83"/>
      <c r="J33" s="83"/>
      <c r="K33" s="85"/>
      <c r="L33" t="str">
        <f t="shared" si="3"/>
        <v/>
      </c>
      <c r="M33" t="str">
        <f t="shared" ca="1" si="2"/>
        <v/>
      </c>
      <c r="N33" s="5" t="str">
        <f ca="1">IF(ISBLANK(D33),"",Open_time Control_1+(INT(L33)&amp;":"&amp;IF(ROUND(((L33-INT(L33))*60),0)&lt;10,0,"")&amp;ROUND(((L33-INT(L33))*60),0)))</f>
        <v/>
      </c>
      <c r="O33" s="5" t="str">
        <f ca="1">IF(ISBLANK(D33),"",Open_time Control_1+(INT(M33)&amp;":"&amp;IF(ROUND(((M33-INT(M33))*60),0)&lt;10,0,"")&amp;ROUND(((M33-INT(M33))*60),0)))</f>
        <v/>
      </c>
    </row>
    <row r="34" spans="4:15" ht="17.100000000000001" customHeight="1">
      <c r="D34" s="28"/>
      <c r="E34" s="77"/>
      <c r="F34" s="78"/>
      <c r="G34" s="78"/>
      <c r="H34" s="79"/>
      <c r="I34" s="83"/>
      <c r="J34" s="83"/>
      <c r="K34" s="84"/>
      <c r="L34" t="str">
        <f t="shared" si="3"/>
        <v/>
      </c>
      <c r="M34" t="str">
        <f t="shared" ca="1" si="2"/>
        <v/>
      </c>
      <c r="N34" s="5" t="str">
        <f ca="1">IF(ISBLANK(D34),"",Open_time Control_1+(INT(L34)&amp;":"&amp;IF(ROUND(((L34-INT(L34))*60),0)&lt;10,0,"")&amp;ROUND(((L34-INT(L34))*60),0)))</f>
        <v/>
      </c>
      <c r="O34" s="5" t="str">
        <f ca="1">IF(ISBLANK(D34),"",Open_time Control_1+(INT(M34)&amp;":"&amp;IF(ROUND(((M34-INT(M34))*60),0)&lt;10,0,"")&amp;ROUND(((M34-INT(M34))*60),0)))</f>
        <v/>
      </c>
    </row>
    <row r="35" spans="4:15" ht="17.100000000000001" customHeight="1">
      <c r="D35" s="28"/>
      <c r="E35" s="77"/>
      <c r="F35" s="78"/>
      <c r="G35" s="78"/>
      <c r="H35" s="79"/>
      <c r="I35" s="83"/>
      <c r="J35" s="83"/>
      <c r="K35" s="84"/>
      <c r="L35" t="str">
        <f t="shared" si="3"/>
        <v/>
      </c>
      <c r="M35" t="str">
        <f t="shared" ca="1" si="2"/>
        <v/>
      </c>
      <c r="N35" s="5" t="str">
        <f ca="1">IF(ISBLANK(D35),"",Open_time Control_1+(INT(L35)&amp;":"&amp;IF(ROUND(((L35-INT(L35))*60),0)&lt;10,0,"")&amp;ROUND(((L35-INT(L35))*60),0)))</f>
        <v/>
      </c>
      <c r="O35" s="5" t="str">
        <f ca="1">IF(ISBLANK(D35),"",Open_time Control_1+(INT(M35)&amp;":"&amp;IF(ROUND(((M35-INT(M35))*60),0)&lt;10,0,"")&amp;ROUND(((M35-INT(M35))*60),0)))</f>
        <v/>
      </c>
    </row>
    <row r="36" spans="4:15" ht="17.100000000000001" customHeight="1" thickBot="1">
      <c r="D36" s="54"/>
      <c r="E36" s="80"/>
      <c r="F36" s="81"/>
      <c r="G36" s="81"/>
      <c r="H36" s="82"/>
      <c r="I36" s="86"/>
      <c r="J36" s="86"/>
      <c r="K36" s="87"/>
      <c r="L36" t="str">
        <f t="shared" si="3"/>
        <v/>
      </c>
      <c r="M36" t="str">
        <f t="shared" ca="1" si="2"/>
        <v/>
      </c>
      <c r="N36" s="5" t="str">
        <f ca="1">IF(ISBLANK(D36),"",Open_time Control_1+(INT(L36)&amp;":"&amp;IF(ROUND(((L36-INT(L36))*60),0)&lt;10,0,"")&amp;ROUND(((L36-INT(L36))*60),0)))</f>
        <v/>
      </c>
      <c r="O36" s="5" t="str">
        <f ca="1">IF(ISBLANK(D36),"",Open_time Control_1+(INT(M36)&amp;":"&amp;IF(ROUND(((M36-INT(M36))*60),0)&lt;10,0,"")&amp;ROUND(((M36-INT(M36))*60),0)))</f>
        <v/>
      </c>
    </row>
    <row r="37" spans="4:15" ht="6.95" customHeight="1" thickBot="1">
      <c r="D37" s="67"/>
      <c r="E37" s="68"/>
      <c r="F37" s="69"/>
      <c r="G37" s="69"/>
      <c r="H37" s="69"/>
      <c r="I37" s="69"/>
      <c r="J37" s="69"/>
      <c r="K37" s="70"/>
      <c r="N37" s="5"/>
      <c r="O37" s="5"/>
    </row>
    <row r="38" spans="4:15" ht="13.5" thickBot="1">
      <c r="D38" s="118" t="s">
        <v>79</v>
      </c>
      <c r="E38" s="119"/>
      <c r="F38" s="119"/>
      <c r="G38" s="119"/>
      <c r="H38" s="119"/>
      <c r="I38" s="118" t="s">
        <v>78</v>
      </c>
      <c r="J38" s="119"/>
      <c r="K38" s="120"/>
    </row>
    <row r="39" spans="4:15" ht="13.5" thickBot="1">
      <c r="D39" s="6" t="s">
        <v>24</v>
      </c>
      <c r="E39" s="7" t="s">
        <v>25</v>
      </c>
      <c r="F39" s="65" t="s">
        <v>26</v>
      </c>
      <c r="G39" s="65" t="s">
        <v>27</v>
      </c>
      <c r="H39" s="95" t="s">
        <v>28</v>
      </c>
      <c r="I39" s="7" t="s">
        <v>60</v>
      </c>
      <c r="J39" s="7" t="s">
        <v>61</v>
      </c>
      <c r="K39" s="8" t="s">
        <v>62</v>
      </c>
      <c r="L39" t="s">
        <v>3</v>
      </c>
      <c r="M39" t="s">
        <v>4</v>
      </c>
      <c r="N39" t="s">
        <v>5</v>
      </c>
      <c r="O39" t="s">
        <v>6</v>
      </c>
    </row>
    <row r="40" spans="4:15" ht="15.75">
      <c r="D40" s="28"/>
      <c r="E40" s="77"/>
      <c r="F40" s="78"/>
      <c r="G40" s="78"/>
      <c r="H40" s="96"/>
      <c r="I40" s="83"/>
      <c r="J40" s="83"/>
      <c r="K40" s="84"/>
      <c r="L40" t="str">
        <f>IF(ISBLANK(D40),"",IF(D40&gt;1000,(D40-1000)/26+33.0847,(IF(D40&gt;600,(D40-600)/28+18.799,(IF(D40&gt;400,(D40-400)/30+12.1324,(IF(D40&gt;200,(D40-200)/32+5.8824,D40/34))))))))</f>
        <v/>
      </c>
      <c r="M40" t="str">
        <f t="shared" ref="M40:M49" ca="1" si="4">IF(ISBLANK(D40),"",IF((D40=0),1,IF(D40&gt;=brevet,IF(brevet&gt;1200,(brevet-1200)*75/1000+90,Max_time),IF(D40&gt;1200,(D40-1200)*75/1000+90,IF(D40&gt;1000,(D40-1000)/(1000/75)+75,IF(D40&gt;600,(D40-600)/(400/35)+40,IF(D40&lt;=60,D40/20+1,D40/15)))))))</f>
        <v/>
      </c>
      <c r="N40" s="5" t="str">
        <f ca="1">IF(ISBLANK(D40),"",Open_time Control_1+(INT(L40)&amp;":"&amp;IF(ROUND(((L40-INT(L40))*60),0)&lt;10,0,"")&amp;ROUND(((L40-INT(L40))*60),0)))</f>
        <v/>
      </c>
      <c r="O40" s="5" t="str">
        <f ca="1">IF(ISBLANK(D40),"",Open_time Control_1+(INT(M40)&amp;":"&amp;IF(ROUND(((M40-INT(M40))*60),0)&lt;10,0,"")&amp;ROUND(((M40-INT(M40))*60),0)))</f>
        <v/>
      </c>
    </row>
    <row r="41" spans="4:15" ht="15.75">
      <c r="D41" s="28"/>
      <c r="E41" s="77"/>
      <c r="F41" s="78"/>
      <c r="G41" s="78"/>
      <c r="H41" s="79"/>
      <c r="I41" s="83"/>
      <c r="J41" s="83"/>
      <c r="K41" s="85"/>
      <c r="L41" t="str">
        <f t="shared" ref="L41:L49" si="5">IF(ISBLANK(D41),"",IF(D41&gt;1000,(D41-1000)/26+33.0847,(IF(D41&gt;600,(D41-600)/28+18.799,(IF(D41&gt;400,(D41-400)/30+12.1324,(IF(D41&gt;200,(D41-200)/32+5.8824,D41/34))))))))</f>
        <v/>
      </c>
      <c r="M41" t="str">
        <f t="shared" ca="1" si="4"/>
        <v/>
      </c>
      <c r="N41" s="5" t="str">
        <f ca="1">IF(ISBLANK(D41),"",Open_time Control_1+(INT(L41)&amp;":"&amp;IF(ROUND(((L41-INT(L41))*60),0)&lt;10,0,"")&amp;ROUND(((L41-INT(L41))*60),0)))</f>
        <v/>
      </c>
      <c r="O41" s="5" t="str">
        <f ca="1">IF(ISBLANK(D41),"",Open_time Control_1+(INT(M41)&amp;":"&amp;IF(ROUND(((M41-INT(M41))*60),0)&lt;10,0,"")&amp;ROUND(((M41-INT(M41))*60),0)))</f>
        <v/>
      </c>
    </row>
    <row r="42" spans="4:15" ht="15.75">
      <c r="D42" s="28"/>
      <c r="E42" s="88"/>
      <c r="F42" s="78"/>
      <c r="G42" s="78"/>
      <c r="H42" s="79"/>
      <c r="I42" s="83"/>
      <c r="J42" s="83"/>
      <c r="K42" s="85"/>
      <c r="L42" t="str">
        <f t="shared" si="5"/>
        <v/>
      </c>
      <c r="M42" t="str">
        <f t="shared" ca="1" si="4"/>
        <v/>
      </c>
      <c r="N42" s="5" t="str">
        <f ca="1">IF(ISBLANK(D42),"",Open_time Control_1+(INT(L42)&amp;":"&amp;IF(ROUND(((L42-INT(L42))*60),0)&lt;10,0,"")&amp;ROUND(((L42-INT(L42))*60),0)))</f>
        <v/>
      </c>
      <c r="O42" s="5" t="str">
        <f ca="1">IF(ISBLANK(D42),"",Open_time Control_1+(INT(M42)&amp;":"&amp;IF(ROUND(((M42-INT(M42))*60),0)&lt;10,0,"")&amp;ROUND(((M42-INT(M42))*60),0)))</f>
        <v/>
      </c>
    </row>
    <row r="43" spans="4:15" ht="15.75">
      <c r="D43" s="28"/>
      <c r="E43" s="77"/>
      <c r="F43" s="78"/>
      <c r="G43" s="78"/>
      <c r="H43" s="79"/>
      <c r="I43" s="83"/>
      <c r="J43" s="83"/>
      <c r="K43" s="84"/>
      <c r="L43" t="str">
        <f t="shared" si="5"/>
        <v/>
      </c>
      <c r="M43" t="str">
        <f t="shared" ca="1" si="4"/>
        <v/>
      </c>
      <c r="N43" s="5" t="str">
        <f ca="1">IF(ISBLANK(D43),"",Open_time Control_1+(INT(L43)&amp;":"&amp;IF(ROUND(((L43-INT(L43))*60),0)&lt;10,0,"")&amp;ROUND(((L43-INT(L43))*60),0)))</f>
        <v/>
      </c>
      <c r="O43" s="5" t="str">
        <f ca="1">IF(ISBLANK(D43),"",Open_time Control_1+(INT(M43)&amp;":"&amp;IF(ROUND(((M43-INT(M43))*60),0)&lt;10,0,"")&amp;ROUND(((M43-INT(M43))*60),0)))</f>
        <v/>
      </c>
    </row>
    <row r="44" spans="4:15" ht="15.75">
      <c r="D44" s="28"/>
      <c r="E44" s="77"/>
      <c r="F44" s="78"/>
      <c r="G44" s="78"/>
      <c r="H44" s="79"/>
      <c r="I44" s="83"/>
      <c r="J44" s="83"/>
      <c r="K44" s="84"/>
      <c r="L44" t="str">
        <f t="shared" si="5"/>
        <v/>
      </c>
      <c r="M44" t="str">
        <f t="shared" ca="1" si="4"/>
        <v/>
      </c>
      <c r="N44" s="5" t="str">
        <f ca="1">IF(ISBLANK(D44),"",Open_time Control_1+(INT(L44)&amp;":"&amp;IF(ROUND(((L44-INT(L44))*60),0)&lt;10,0,"")&amp;ROUND(((L44-INT(L44))*60),0)))</f>
        <v/>
      </c>
      <c r="O44" s="5" t="str">
        <f ca="1">IF(ISBLANK(D44),"",Open_time Control_1+(INT(M44)&amp;":"&amp;IF(ROUND(((M44-INT(M44))*60),0)&lt;10,0,"")&amp;ROUND(((M44-INT(M44))*60),0)))</f>
        <v/>
      </c>
    </row>
    <row r="45" spans="4:15" ht="15.75">
      <c r="D45" s="28"/>
      <c r="E45" s="77"/>
      <c r="F45" s="78"/>
      <c r="G45" s="78"/>
      <c r="H45" s="79"/>
      <c r="I45" s="83"/>
      <c r="J45" s="83"/>
      <c r="K45" s="84"/>
      <c r="L45" t="str">
        <f t="shared" si="5"/>
        <v/>
      </c>
      <c r="M45" t="str">
        <f t="shared" ca="1" si="4"/>
        <v/>
      </c>
      <c r="N45" s="5" t="str">
        <f ca="1">IF(ISBLANK(D45),"",Open_time Control_1+(INT(L45)&amp;":"&amp;IF(ROUND(((L45-INT(L45))*60),0)&lt;10,0,"")&amp;ROUND(((L45-INT(L45))*60),0)))</f>
        <v/>
      </c>
      <c r="O45" s="5" t="str">
        <f ca="1">IF(ISBLANK(D45),"",Open_time Control_1+(INT(M45)&amp;":"&amp;IF(ROUND(((M45-INT(M45))*60),0)&lt;10,0,"")&amp;ROUND(((M45-INT(M45))*60),0)))</f>
        <v/>
      </c>
    </row>
    <row r="46" spans="4:15" ht="15.75">
      <c r="D46" s="28"/>
      <c r="E46" s="77"/>
      <c r="F46" s="78"/>
      <c r="G46" s="78"/>
      <c r="H46" s="79"/>
      <c r="I46" s="83"/>
      <c r="J46" s="83"/>
      <c r="K46" s="85"/>
      <c r="L46" t="str">
        <f t="shared" si="5"/>
        <v/>
      </c>
      <c r="M46" t="str">
        <f t="shared" ca="1" si="4"/>
        <v/>
      </c>
      <c r="N46" s="5" t="str">
        <f ca="1">IF(ISBLANK(D46),"",Open_time Control_1+(INT(L46)&amp;":"&amp;IF(ROUND(((L46-INT(L46))*60),0)&lt;10,0,"")&amp;ROUND(((L46-INT(L46))*60),0)))</f>
        <v/>
      </c>
      <c r="O46" s="5" t="str">
        <f ca="1">IF(ISBLANK(D46),"",Open_time Control_1+(INT(M46)&amp;":"&amp;IF(ROUND(((M46-INT(M46))*60),0)&lt;10,0,"")&amp;ROUND(((M46-INT(M46))*60),0)))</f>
        <v/>
      </c>
    </row>
    <row r="47" spans="4:15" ht="15.75">
      <c r="D47" s="28"/>
      <c r="E47" s="77"/>
      <c r="F47" s="78"/>
      <c r="G47" s="78"/>
      <c r="H47" s="79"/>
      <c r="I47" s="83"/>
      <c r="J47" s="83"/>
      <c r="K47" s="84"/>
      <c r="L47" t="str">
        <f t="shared" si="5"/>
        <v/>
      </c>
      <c r="M47" t="str">
        <f t="shared" ca="1" si="4"/>
        <v/>
      </c>
      <c r="N47" s="5" t="str">
        <f ca="1">IF(ISBLANK(D47),"",Open_time Control_1+(INT(L47)&amp;":"&amp;IF(ROUND(((L47-INT(L47))*60),0)&lt;10,0,"")&amp;ROUND(((L47-INT(L47))*60),0)))</f>
        <v/>
      </c>
      <c r="O47" s="5" t="str">
        <f ca="1">IF(ISBLANK(D47),"",Open_time Control_1+(INT(M47)&amp;":"&amp;IF(ROUND(((M47-INT(M47))*60),0)&lt;10,0,"")&amp;ROUND(((M47-INT(M47))*60),0)))</f>
        <v/>
      </c>
    </row>
    <row r="48" spans="4:15" ht="15.75">
      <c r="D48" s="28"/>
      <c r="E48" s="77"/>
      <c r="F48" s="78"/>
      <c r="G48" s="78"/>
      <c r="H48" s="79"/>
      <c r="I48" s="83"/>
      <c r="J48" s="83"/>
      <c r="K48" s="84"/>
      <c r="L48" t="str">
        <f t="shared" si="5"/>
        <v/>
      </c>
      <c r="M48" t="str">
        <f t="shared" ca="1" si="4"/>
        <v/>
      </c>
      <c r="N48" s="5" t="str">
        <f ca="1">IF(ISBLANK(D48),"",Open_time Control_1+(INT(L48)&amp;":"&amp;IF(ROUND(((L48-INT(L48))*60),0)&lt;10,0,"")&amp;ROUND(((L48-INT(L48))*60),0)))</f>
        <v/>
      </c>
      <c r="O48" s="5" t="str">
        <f ca="1">IF(ISBLANK(D48),"",Open_time Control_1+(INT(M48)&amp;":"&amp;IF(ROUND(((M48-INT(M48))*60),0)&lt;10,0,"")&amp;ROUND(((M48-INT(M48))*60),0)))</f>
        <v/>
      </c>
    </row>
    <row r="49" spans="4:15" ht="16.5" thickBot="1">
      <c r="D49" s="54"/>
      <c r="E49" s="80"/>
      <c r="F49" s="81"/>
      <c r="G49" s="81"/>
      <c r="H49" s="82"/>
      <c r="I49" s="86"/>
      <c r="J49" s="86"/>
      <c r="K49" s="87"/>
      <c r="L49" t="str">
        <f t="shared" si="5"/>
        <v/>
      </c>
      <c r="M49" t="str">
        <f t="shared" ca="1" si="4"/>
        <v/>
      </c>
      <c r="N49" s="5" t="str">
        <f ca="1">IF(ISBLANK(D49),"",Open_time Control_1+(INT(L49)&amp;":"&amp;IF(ROUND(((L49-INT(L49))*60),0)&lt;10,0,"")&amp;ROUND(((L49-INT(L49))*60),0)))</f>
        <v/>
      </c>
      <c r="O49" s="5" t="str">
        <f ca="1">IF(ISBLANK(D49),"",Open_time Control_1+(INT(M49)&amp;":"&amp;IF(ROUND(((M49-INT(M49))*60),0)&lt;10,0,"")&amp;ROUND(((M49-INT(M49))*60),0)))</f>
        <v/>
      </c>
    </row>
  </sheetData>
  <sheetProtection sheet="1" objects="1" scenarios="1" selectLockedCells="1"/>
  <mergeCells count="10">
    <mergeCell ref="Q1:Z4"/>
    <mergeCell ref="A1:H1"/>
    <mergeCell ref="B7:H7"/>
    <mergeCell ref="D38:H38"/>
    <mergeCell ref="I38:K38"/>
    <mergeCell ref="J5:K5"/>
    <mergeCell ref="D12:H12"/>
    <mergeCell ref="D25:H25"/>
    <mergeCell ref="I12:K12"/>
    <mergeCell ref="I25:K25"/>
  </mergeCells>
  <phoneticPr fontId="12" type="noConversion"/>
  <pageMargins left="0.75" right="0.75" top="1" bottom="1" header="0.5" footer="0.5"/>
  <pageSetup orientation="portrait" horizontalDpi="4294967292" verticalDpi="4294967292" r:id="rId1"/>
  <headerFooter>
    <oddHeader>&amp;A</oddHeader>
    <oddFooter>Page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40"/>
  <sheetViews>
    <sheetView showGridLines="0" zoomScale="75" zoomScaleNormal="92" zoomScalePageLayoutView="92" workbookViewId="0">
      <selection activeCell="L8" sqref="L8:Q8"/>
    </sheetView>
  </sheetViews>
  <sheetFormatPr defaultColWidth="8.85546875" defaultRowHeight="12.75"/>
  <cols>
    <col min="1" max="1" width="8.42578125" style="1" customWidth="1"/>
    <col min="2" max="2" width="11.42578125" customWidth="1"/>
    <col min="3" max="3" width="11.7109375" customWidth="1"/>
    <col min="4" max="4" width="18" customWidth="1"/>
    <col min="5" max="5" width="23.85546875" customWidth="1"/>
    <col min="6" max="6" width="42" customWidth="1"/>
    <col min="7" max="7" width="13.42578125" customWidth="1"/>
    <col min="8" max="8" width="8" style="30" customWidth="1"/>
    <col min="9" max="9" width="12" customWidth="1"/>
    <col min="18" max="19" width="8.85546875" customWidth="1"/>
  </cols>
  <sheetData>
    <row r="1" spans="1:22" ht="21" thickBot="1">
      <c r="A1" s="137" t="s">
        <v>80</v>
      </c>
      <c r="B1" s="137"/>
      <c r="C1" s="137"/>
      <c r="D1" s="137"/>
      <c r="E1" s="137"/>
      <c r="F1" s="137"/>
      <c r="G1" s="137"/>
      <c r="H1" s="29" t="s">
        <v>29</v>
      </c>
    </row>
    <row r="2" spans="1:22" ht="33.75" customHeight="1" thickBot="1">
      <c r="A2" s="76" t="s">
        <v>30</v>
      </c>
      <c r="B2" s="9" t="s">
        <v>3</v>
      </c>
      <c r="C2" s="9" t="s">
        <v>4</v>
      </c>
      <c r="D2" s="9" t="s">
        <v>25</v>
      </c>
      <c r="E2" s="9" t="s">
        <v>31</v>
      </c>
      <c r="F2" s="9" t="s">
        <v>59</v>
      </c>
      <c r="G2" s="76" t="s">
        <v>32</v>
      </c>
      <c r="H2" s="29" t="s">
        <v>29</v>
      </c>
      <c r="K2" s="135" t="s">
        <v>55</v>
      </c>
      <c r="L2" s="135"/>
      <c r="M2" s="135"/>
      <c r="N2" s="135"/>
      <c r="O2" s="135"/>
      <c r="P2" s="135"/>
      <c r="Q2" s="135"/>
      <c r="R2" s="135"/>
      <c r="S2" s="135"/>
      <c r="T2" s="135"/>
      <c r="U2" s="135"/>
    </row>
    <row r="3" spans="1:22" ht="36" customHeight="1">
      <c r="A3" s="31"/>
      <c r="B3" s="32">
        <f ca="1">Control_1 Open_time</f>
        <v>45115.291666666664</v>
      </c>
      <c r="C3" s="32">
        <f ca="1">Control_1 Close_time</f>
        <v>45115.333333333328</v>
      </c>
      <c r="D3" s="33"/>
      <c r="E3" s="34" t="str">
        <f ca="1">IF(ISBLANK(Control_1 Establishment_1),"",Control_1 Establishment_1)</f>
        <v/>
      </c>
      <c r="F3" s="106" t="str">
        <f ca="1">IF(ISBLANK('Control Entry'!I14),"",'Control Entry'!I14)</f>
        <v/>
      </c>
      <c r="G3" s="107"/>
      <c r="H3" s="29" t="s">
        <v>29</v>
      </c>
      <c r="K3" s="14"/>
      <c r="O3" s="138" t="s">
        <v>33</v>
      </c>
      <c r="P3" s="138"/>
      <c r="Q3" s="138"/>
      <c r="R3" s="138"/>
      <c r="S3" s="92" t="str">
        <f ca="1">IF('Control Entry'!D27=0,"","#1")</f>
        <v/>
      </c>
      <c r="U3" s="44"/>
    </row>
    <row r="4" spans="1:22" ht="36" customHeight="1">
      <c r="A4" s="40">
        <f ca="1">IF(ISBLANK(Distance Control_1),"",Control_1 Distance)</f>
        <v>0</v>
      </c>
      <c r="B4" s="41">
        <f ca="1">Control_1 Open_time</f>
        <v>45115.291666666664</v>
      </c>
      <c r="C4" s="41">
        <f ca="1">Control_1 Close_time</f>
        <v>45115.333333333328</v>
      </c>
      <c r="D4" s="42" t="str">
        <f ca="1">IF(ISBLANK(Locale Control_1),"",Locale Control_1)</f>
        <v>West Vancouver</v>
      </c>
      <c r="E4" s="34" t="str">
        <f ca="1">IF(ISBLANK(Control_1 Establishment_2),"",Control_1 Establishment_2)</f>
        <v>Crema Café</v>
      </c>
      <c r="F4" s="108" t="str">
        <f ca="1">IF(ISBLANK('Control Entry'!J14),"",'Control Entry'!J14)</f>
        <v/>
      </c>
      <c r="G4" s="107"/>
      <c r="H4" s="29" t="s">
        <v>29</v>
      </c>
      <c r="K4" s="14"/>
      <c r="M4" s="141" t="str">
        <f ca="1">IF(ISBLANK(brevet),"",brevet&amp;" km Randonnée")</f>
        <v>200 km Randonnée</v>
      </c>
      <c r="N4" s="141"/>
      <c r="O4" s="141"/>
      <c r="P4" s="141"/>
      <c r="Q4" s="141"/>
      <c r="R4" s="141"/>
      <c r="S4" s="141"/>
      <c r="T4" s="141"/>
      <c r="U4" s="45"/>
    </row>
    <row r="5" spans="1:22" ht="36" customHeight="1" thickBot="1">
      <c r="A5" s="35"/>
      <c r="B5" s="36">
        <f ca="1">Control_1 Open_time</f>
        <v>45115.291666666664</v>
      </c>
      <c r="C5" s="36">
        <f ca="1">Control_1 Close_time</f>
        <v>45115.333333333328</v>
      </c>
      <c r="D5" s="37"/>
      <c r="E5" s="38" t="str">
        <f ca="1">IF(ISBLANK(Control_1 Establishment_3),"",Control_1 Establishment_3)</f>
        <v>1495 Bellevue Ave</v>
      </c>
      <c r="F5" s="109" t="str">
        <f ca="1">IF(ISBLANK('Control Entry'!K14),"",'Control Entry'!K14)</f>
        <v/>
      </c>
      <c r="G5" s="110"/>
      <c r="H5" s="29" t="s">
        <v>29</v>
      </c>
      <c r="K5" s="14"/>
      <c r="M5" s="15"/>
      <c r="N5" s="140" t="s">
        <v>47</v>
      </c>
      <c r="O5" s="140"/>
      <c r="P5" s="63">
        <f ca="1">IF(ISBLANK(Brevet_Number),"",Brevet_Number)</f>
        <v>5249</v>
      </c>
      <c r="Q5" s="64"/>
      <c r="R5" s="150">
        <f ca="1">IF(ISBLANK('Control Entry'!$B9),"",'Control Entry'!$B9)</f>
        <v>45115</v>
      </c>
      <c r="S5" s="150"/>
      <c r="T5" s="150"/>
      <c r="U5" s="150"/>
      <c r="V5" s="46"/>
    </row>
    <row r="6" spans="1:22" ht="36" customHeight="1">
      <c r="A6" s="31"/>
      <c r="B6" s="32">
        <f ca="1">Control_2 Open_time</f>
        <v>45115.338888888888</v>
      </c>
      <c r="C6" s="32">
        <f ca="1">Control_2 Close_time</f>
        <v>45115.413194444445</v>
      </c>
      <c r="D6" s="39"/>
      <c r="E6" s="34" t="str">
        <f ca="1">IF(ISBLANK(Control_2 Establishment_1),"",Control_2 Establishment_1)</f>
        <v/>
      </c>
      <c r="F6" s="106" t="str">
        <f ca="1">IF(ISBLANK('Control Entry'!I15),"",'Control Entry'!I15)</f>
        <v>"No ___ Parking"?</v>
      </c>
      <c r="G6" s="107"/>
      <c r="H6" s="29" t="s">
        <v>29</v>
      </c>
      <c r="K6" s="14"/>
      <c r="L6" s="139" t="str">
        <f ca="1">IF(ISBLANK(Brevet_Description),"",Brevet_Description)</f>
        <v>Summit Finish 200 III</v>
      </c>
      <c r="M6" s="139"/>
      <c r="N6" s="139"/>
      <c r="O6" s="139"/>
      <c r="P6" s="139"/>
      <c r="Q6" s="139"/>
      <c r="R6" s="139"/>
      <c r="S6" s="139"/>
      <c r="T6" s="139"/>
      <c r="U6" s="139"/>
    </row>
    <row r="7" spans="1:22" ht="36" customHeight="1">
      <c r="A7" s="40">
        <f ca="1">IF(ISBLANK(Distance Control_2),"",Control_2 Distance)</f>
        <v>38.299999999999997</v>
      </c>
      <c r="B7" s="41">
        <f ca="1">Control_2 Open_time</f>
        <v>45115.338888888888</v>
      </c>
      <c r="C7" s="41">
        <f ca="1">Control_2 Close_time</f>
        <v>45115.413194444445</v>
      </c>
      <c r="D7" s="42" t="str">
        <f ca="1">IF(ISBLANK(Locale Control_2),"",Locale Control_2)</f>
        <v>Porteau Cove</v>
      </c>
      <c r="E7" s="56" t="str">
        <f ca="1">IF(ISBLANK(Control_2 Establishment_2),"",Control_2 Establishment_2)</f>
        <v xml:space="preserve">Right of Porteau Cove Marine Park </v>
      </c>
      <c r="F7" s="108" t="str">
        <f ca="1">IF(ISBLANK('Control Entry'!J15),"",'Control Entry'!J15)</f>
        <v/>
      </c>
      <c r="G7" s="107"/>
      <c r="H7" s="29" t="s">
        <v>29</v>
      </c>
      <c r="J7" s="91"/>
      <c r="L7" s="91"/>
    </row>
    <row r="8" spans="1:22" ht="36" customHeight="1" thickBot="1">
      <c r="A8" s="35"/>
      <c r="B8" s="36">
        <f ca="1">Control_2 Open_time</f>
        <v>45115.338888888888</v>
      </c>
      <c r="C8" s="36">
        <f ca="1">Control_2 Close_time</f>
        <v>45115.413194444445</v>
      </c>
      <c r="D8" s="37"/>
      <c r="E8" s="90" t="str">
        <f ca="1">IF(ISBLANK(Control_2 Establishment_3),"",Control_2 Establishment_3)</f>
        <v>Dogwood Sign</v>
      </c>
      <c r="F8" s="109" t="str">
        <f ca="1">IF(ISBLANK('Control Entry'!K15),"",'Control Entry'!K15)</f>
        <v/>
      </c>
      <c r="G8" s="110"/>
      <c r="H8" s="29" t="s">
        <v>29</v>
      </c>
      <c r="J8" s="15" t="s">
        <v>34</v>
      </c>
      <c r="L8" s="136"/>
      <c r="M8" s="136"/>
      <c r="N8" s="136"/>
      <c r="O8" s="136"/>
      <c r="P8" s="136"/>
      <c r="Q8" s="136"/>
      <c r="R8" s="30"/>
      <c r="S8" s="47" t="s">
        <v>46</v>
      </c>
      <c r="T8" s="127"/>
      <c r="U8" s="127"/>
    </row>
    <row r="9" spans="1:22" ht="36" customHeight="1" thickBot="1">
      <c r="A9" s="31"/>
      <c r="B9" s="32">
        <f ca="1">Control_3 Open_time</f>
        <v>45115.414583333331</v>
      </c>
      <c r="C9" s="32">
        <f ca="1">Control_3 Close_time</f>
        <v>45115.570138888885</v>
      </c>
      <c r="D9" s="39"/>
      <c r="E9" s="34" t="str">
        <f ca="1">IF(ISBLANK(Control_3 Establishment_1),"",Control_3 Establishment_1)</f>
        <v/>
      </c>
      <c r="F9" s="106" t="str">
        <f ca="1">IF(ISBLANK('Control Entry'!I16),"",'Control Entry'!I16)</f>
        <v>Sign: "No Loud ___ Music"?</v>
      </c>
      <c r="G9" s="107"/>
      <c r="H9" s="29" t="s">
        <v>29</v>
      </c>
      <c r="J9" s="15" t="s">
        <v>35</v>
      </c>
      <c r="K9" s="15"/>
      <c r="L9" s="145" t="s">
        <v>54</v>
      </c>
      <c r="M9" s="145"/>
      <c r="N9" s="145"/>
      <c r="O9" s="145"/>
      <c r="P9" s="145"/>
      <c r="Q9" s="145"/>
      <c r="R9" s="145"/>
      <c r="S9" s="145"/>
      <c r="T9" s="145"/>
      <c r="U9" s="145"/>
    </row>
    <row r="10" spans="1:22" ht="36" customHeight="1" thickBot="1">
      <c r="A10" s="40">
        <f ca="1">IF(ISBLANK(Distance Control_3),"",Control_3 Distance)</f>
        <v>100.3</v>
      </c>
      <c r="B10" s="41">
        <f ca="1">Control_3 Open_time</f>
        <v>45115.414583333331</v>
      </c>
      <c r="C10" s="41">
        <f ca="1">Control_3 Close_time</f>
        <v>45115.570138888885</v>
      </c>
      <c r="D10" s="42" t="str">
        <f ca="1">IF(ISBLANK(Locale Control_3),"",Locale Control_3)</f>
        <v>UBC Botanical Garden</v>
      </c>
      <c r="E10" s="56" t="str">
        <f ca="1">IF(ISBLANK(Control_3 Establishment_2),"",Control_3 Establishment_2)</f>
        <v>Old Marine Dr Washrooms</v>
      </c>
      <c r="F10" s="108" t="str">
        <f ca="1">IF(ISBLANK('Control Entry'!J16),"",'Control Entry'!J16)</f>
        <v/>
      </c>
      <c r="G10" s="107"/>
      <c r="H10" s="29" t="s">
        <v>29</v>
      </c>
      <c r="J10" s="15"/>
      <c r="K10" s="15"/>
      <c r="L10" s="123"/>
      <c r="M10" s="123"/>
      <c r="N10" s="123"/>
      <c r="O10" s="123"/>
      <c r="P10" s="123"/>
      <c r="Q10" s="123"/>
      <c r="R10" s="123"/>
      <c r="S10" s="123"/>
      <c r="T10" s="123"/>
      <c r="U10" s="123"/>
    </row>
    <row r="11" spans="1:22" ht="36" customHeight="1" thickBot="1">
      <c r="A11" s="35"/>
      <c r="B11" s="36">
        <f ca="1">Control_3 Open_time</f>
        <v>45115.414583333331</v>
      </c>
      <c r="C11" s="36">
        <f ca="1">Control_3 Close_time</f>
        <v>45115.570138888885</v>
      </c>
      <c r="D11" s="37"/>
      <c r="E11" s="38" t="str">
        <f ca="1">IF(ISBLANK(Control_3 Establishment_3),"",Control_3 Establishment_3)</f>
        <v>Beside Stairs to Wreck Beach</v>
      </c>
      <c r="F11" s="109" t="str">
        <f ca="1">IF(ISBLANK('Control Entry'!K16),"",'Control Entry'!K16)</f>
        <v/>
      </c>
      <c r="G11" s="110"/>
      <c r="H11" s="29" t="s">
        <v>29</v>
      </c>
      <c r="J11" s="15" t="s">
        <v>36</v>
      </c>
      <c r="K11" s="15"/>
      <c r="L11" s="123"/>
      <c r="M11" s="123"/>
      <c r="N11" s="123"/>
      <c r="O11" s="18"/>
      <c r="P11" s="18" t="s">
        <v>37</v>
      </c>
      <c r="Q11" s="18"/>
      <c r="R11" s="18"/>
      <c r="S11" s="124"/>
      <c r="T11" s="124"/>
      <c r="U11" s="124"/>
    </row>
    <row r="12" spans="1:22" ht="36" customHeight="1" thickBot="1">
      <c r="A12" s="31"/>
      <c r="B12" s="32">
        <f ca="1">Control_4 Open_time</f>
        <v>45115.456249999996</v>
      </c>
      <c r="C12" s="32">
        <f ca="1">Control_4 Close_time</f>
        <v>45115.665277777778</v>
      </c>
      <c r="D12" s="39"/>
      <c r="E12" s="34" t="str">
        <f ca="1">IF(ISBLANK(Control_4 Establishment_1),"",Control_4 Establishment_1)</f>
        <v>Deep Cove Village</v>
      </c>
      <c r="F12" s="106" t="str">
        <f ca="1">IF(ISBLANK('Control Entry'!I17),"",'Control Entry'!I17)</f>
        <v/>
      </c>
      <c r="G12" s="107"/>
      <c r="H12" s="29" t="s">
        <v>29</v>
      </c>
      <c r="J12" s="15" t="s">
        <v>38</v>
      </c>
      <c r="K12" s="15"/>
      <c r="L12" s="123"/>
      <c r="M12" s="123"/>
      <c r="N12" s="123"/>
      <c r="O12" s="18"/>
      <c r="P12" s="18" t="s">
        <v>39</v>
      </c>
      <c r="Q12" s="18"/>
      <c r="R12" s="18"/>
      <c r="S12" s="124"/>
      <c r="T12" s="124"/>
      <c r="U12" s="124"/>
    </row>
    <row r="13" spans="1:22" ht="36" customHeight="1" thickBot="1">
      <c r="A13" s="40">
        <f ca="1">IF(ISBLANK(Distance Control_4),"",Control_4 Distance)</f>
        <v>134.5</v>
      </c>
      <c r="B13" s="41">
        <f ca="1">Control_4 Open_time</f>
        <v>45115.456249999996</v>
      </c>
      <c r="C13" s="41">
        <f ca="1">Control_4 Close_time</f>
        <v>45115.665277777778</v>
      </c>
      <c r="D13" s="42" t="str">
        <f ca="1">IF(ISBLANK(Locale Control_4),"",Locale Control_4)</f>
        <v>Deep Cove</v>
      </c>
      <c r="E13" s="34" t="str">
        <f ca="1">IF(ISBLANK(Control_4 Establishment_2),"",Control_4 Establishment_2)</f>
        <v>Your Choice</v>
      </c>
      <c r="F13" s="106" t="str">
        <f ca="1">IF(ISBLANK('Control Entry'!J17),"",'Control Entry'!J17)</f>
        <v/>
      </c>
      <c r="G13" s="107"/>
      <c r="H13" s="29" t="s">
        <v>29</v>
      </c>
      <c r="J13" s="15" t="s">
        <v>40</v>
      </c>
      <c r="L13" s="151"/>
      <c r="M13" s="151"/>
      <c r="N13" s="151"/>
      <c r="O13" s="19"/>
      <c r="P13" s="18" t="s">
        <v>41</v>
      </c>
      <c r="Q13" s="18"/>
      <c r="R13" s="126"/>
      <c r="S13" s="126"/>
      <c r="T13" s="126"/>
      <c r="U13" s="126"/>
    </row>
    <row r="14" spans="1:22" ht="36" customHeight="1" thickBot="1">
      <c r="A14" s="35"/>
      <c r="B14" s="36">
        <f ca="1">Control_4 Open_time</f>
        <v>45115.456249999996</v>
      </c>
      <c r="C14" s="36">
        <f ca="1">Control_4 Close_time</f>
        <v>45115.665277777778</v>
      </c>
      <c r="D14" s="37"/>
      <c r="E14" s="38" t="str">
        <f ca="1">IF(ISBLANK(Control_4 Establishment_3),"",Control_4 Establishment_3)</f>
        <v/>
      </c>
      <c r="F14" s="109" t="str">
        <f ca="1">IF(ISBLANK('Control Entry'!K17),"",'Control Entry'!K17)</f>
        <v/>
      </c>
      <c r="G14" s="110"/>
      <c r="H14" s="29" t="s">
        <v>29</v>
      </c>
    </row>
    <row r="15" spans="1:22" ht="36" customHeight="1">
      <c r="A15" s="31"/>
      <c r="B15" s="32">
        <f ca="1">Control_5 Open_time</f>
        <v>45115.484722222223</v>
      </c>
      <c r="C15" s="32">
        <f ca="1">Control_5 Close_time</f>
        <v>45115.729166666664</v>
      </c>
      <c r="D15" s="39"/>
      <c r="E15" s="34" t="str">
        <f ca="1">IF(ISBLANK(Control_5 Establishment_1),"",Control_5 Establishment_1)</f>
        <v/>
      </c>
      <c r="F15" s="106" t="str">
        <f ca="1">IF(ISBLANK('Control Entry'!I18),"",'Control Entry'!I18)</f>
        <v>Sign on Fence: "Bridge Load Limit ____kg GVW"?</v>
      </c>
      <c r="G15" s="107"/>
      <c r="H15" s="29" t="s">
        <v>29</v>
      </c>
      <c r="J15" s="15"/>
      <c r="L15" s="144" t="s">
        <v>58</v>
      </c>
      <c r="M15" s="144"/>
      <c r="N15" s="144"/>
      <c r="O15" s="144"/>
      <c r="P15" s="144"/>
      <c r="Q15" s="144"/>
      <c r="R15" s="144"/>
      <c r="S15" s="144"/>
      <c r="T15" s="144"/>
      <c r="U15" s="144"/>
    </row>
    <row r="16" spans="1:22" ht="36" customHeight="1" thickBot="1">
      <c r="A16" s="40">
        <f ca="1">IF(ISBLANK(Distance Control_5),"",Control_5 Distance)</f>
        <v>157.6</v>
      </c>
      <c r="B16" s="41">
        <f ca="1">Control_5 Open_time</f>
        <v>45115.484722222223</v>
      </c>
      <c r="C16" s="41">
        <f ca="1">Control_5 Close_time</f>
        <v>45115.729166666664</v>
      </c>
      <c r="D16" s="42" t="str">
        <f ca="1">IF(ISBLANK(Locale Control_5),"",Locale Control_5)</f>
        <v>Seymour Dam</v>
      </c>
      <c r="E16" s="34" t="str">
        <f ca="1">IF(ISBLANK(Control_5 Establishment_2),"",Control_5 Establishment_2)</f>
        <v>Lookout</v>
      </c>
      <c r="F16" s="106" t="str">
        <f ca="1">IF(ISBLANK('Control Entry'!J18),"",'Control Entry'!J18)</f>
        <v/>
      </c>
      <c r="G16" s="107"/>
      <c r="H16" s="29" t="s">
        <v>29</v>
      </c>
      <c r="L16" s="148"/>
      <c r="M16" s="148"/>
      <c r="N16" s="148"/>
      <c r="O16" s="148"/>
      <c r="P16" s="148"/>
      <c r="Q16" s="148"/>
      <c r="R16" s="148"/>
      <c r="S16" s="148"/>
      <c r="T16" s="148"/>
      <c r="U16" s="148"/>
    </row>
    <row r="17" spans="1:22" ht="36" customHeight="1" thickBot="1">
      <c r="A17" s="35"/>
      <c r="B17" s="36">
        <f ca="1">Control_5 Open_time</f>
        <v>45115.484722222223</v>
      </c>
      <c r="C17" s="36">
        <f ca="1">Control_5 Close_time</f>
        <v>45115.729166666664</v>
      </c>
      <c r="D17" s="37"/>
      <c r="E17" s="38" t="str">
        <f ca="1">IF(ISBLANK(Control_5 Establishment_3),"",Control_5 Establishment_3)</f>
        <v/>
      </c>
      <c r="F17" s="111" t="str">
        <f ca="1">IF(ISBLANK('Control Entry'!K18),"",'Control Entry'!K18)</f>
        <v/>
      </c>
      <c r="G17" s="110"/>
      <c r="H17" s="29" t="s">
        <v>29</v>
      </c>
    </row>
    <row r="18" spans="1:22" ht="36" customHeight="1">
      <c r="A18" s="31"/>
      <c r="B18" s="32">
        <f ca="1">Control_6 Open_time</f>
        <v>45115.510416666664</v>
      </c>
      <c r="C18" s="32">
        <f ca="1">Control_6 Close_time</f>
        <v>45115.788194444445</v>
      </c>
      <c r="D18" s="39"/>
      <c r="E18" s="34" t="str">
        <f ca="1">IF(ISBLANK(Control_6 Establishment_1),"",Control_6 Establishment_1)</f>
        <v>Mountain Goat in front</v>
      </c>
      <c r="F18" s="106" t="str">
        <f ca="1">IF(ISBLANK('Control Entry'!I19),"",'Control Entry'!I19)</f>
        <v>Sign for Taxi Stand #___?</v>
      </c>
      <c r="G18" s="107"/>
      <c r="H18" s="29" t="s">
        <v>29</v>
      </c>
    </row>
    <row r="19" spans="1:22" ht="36" customHeight="1">
      <c r="A19" s="40">
        <f ca="1">IF(ISBLANK(Distance Control_6),"",Control_6 Distance)</f>
        <v>178.7</v>
      </c>
      <c r="B19" s="41">
        <f ca="1">Control_6 Open_time</f>
        <v>45115.510416666664</v>
      </c>
      <c r="C19" s="41">
        <f ca="1">Control_6 Close_time</f>
        <v>45115.788194444445</v>
      </c>
      <c r="D19" s="42" t="str">
        <f ca="1">IF(ISBLANK(Locale Control_6),"",Locale Control_6)</f>
        <v>Grouse Mtn Gondola Base</v>
      </c>
      <c r="E19" s="34" t="str">
        <f ca="1">IF(ISBLANK(Control_6 Establishment_2),"",Control_6 Establishment_2)</f>
        <v>of Starbucks</v>
      </c>
      <c r="F19" s="106" t="str">
        <f ca="1">IF(ISBLANK('Control Entry'!J19),"",'Control Entry'!J19)</f>
        <v/>
      </c>
      <c r="G19" s="107"/>
      <c r="H19" s="29" t="s">
        <v>29</v>
      </c>
    </row>
    <row r="20" spans="1:22" ht="36" customHeight="1" thickBot="1">
      <c r="A20" s="35"/>
      <c r="B20" s="36">
        <f ca="1">Control_6 Open_time</f>
        <v>45115.510416666664</v>
      </c>
      <c r="C20" s="36">
        <f ca="1">Control_6 Close_time</f>
        <v>45115.788194444445</v>
      </c>
      <c r="D20" s="37"/>
      <c r="E20" s="38" t="str">
        <f ca="1">IF(ISBLANK(Control_6 Establishment_3),"",Control_6 Establishment_3)</f>
        <v/>
      </c>
      <c r="F20" s="111" t="str">
        <f ca="1">IF(ISBLANK('Control Entry'!K19),"",'Control Entry'!K19)</f>
        <v/>
      </c>
      <c r="G20" s="110"/>
      <c r="H20" s="29" t="s">
        <v>29</v>
      </c>
      <c r="J20" s="61" t="s">
        <v>44</v>
      </c>
      <c r="K20" s="61"/>
      <c r="L20" s="146">
        <f ca="1">IF(ISBLANK('Control Entry'!B11),"",'Control Entry'!B11)</f>
        <v>45115</v>
      </c>
      <c r="M20" s="146"/>
      <c r="N20" s="146"/>
      <c r="P20" s="18" t="s">
        <v>0</v>
      </c>
      <c r="Q20" s="18"/>
      <c r="S20" s="143">
        <f ca="1">IF(ISBLANK('Control Entry'!B12),"",'Control Entry'!B12)</f>
        <v>0.29166666666666669</v>
      </c>
      <c r="T20" s="143"/>
      <c r="U20" s="143"/>
    </row>
    <row r="21" spans="1:22" ht="36" customHeight="1">
      <c r="A21" s="31"/>
      <c r="B21" s="32">
        <f ca="1">Control_7 Open_time</f>
        <v>45115.535416666666</v>
      </c>
      <c r="C21" s="32">
        <f ca="1">Control_7 Close_time</f>
        <v>45115.84375</v>
      </c>
      <c r="D21" s="39"/>
      <c r="E21" s="34" t="str">
        <f ca="1">IF(ISBLANK(Control_7 Establishment_1),"",Control_7 Establishment_1)</f>
        <v>Ski Rental Building beside</v>
      </c>
      <c r="F21" s="106" t="str">
        <f ca="1">IF(ISBLANK('Control Entry'!I20),"",'Control Entry'!I20)</f>
        <v>On Door, "Max Occupancy ___"?</v>
      </c>
      <c r="G21" s="107"/>
      <c r="H21" s="29" t="s">
        <v>29</v>
      </c>
      <c r="J21" s="61"/>
      <c r="K21" s="61"/>
      <c r="L21" s="51"/>
      <c r="M21" s="51"/>
      <c r="N21" s="51"/>
      <c r="P21" s="18"/>
      <c r="Q21" s="18"/>
      <c r="R21" s="23"/>
      <c r="S21" s="62"/>
      <c r="T21" s="62"/>
      <c r="U21" s="62"/>
      <c r="V21" s="30"/>
    </row>
    <row r="22" spans="1:22" ht="36" customHeight="1" thickBot="1">
      <c r="A22" s="40">
        <f ca="1">IF(ISBLANK(Distance Control_7),"",Control_7 Distance)</f>
        <v>198.8</v>
      </c>
      <c r="B22" s="41">
        <f ca="1">Control_7 Open_time</f>
        <v>45115.535416666666</v>
      </c>
      <c r="C22" s="41">
        <f ca="1">Control_7 Close_time</f>
        <v>45115.84375</v>
      </c>
      <c r="D22" s="42" t="str">
        <f ca="1">IF(ISBLANK(Locale Control_7),"",Locale Control_7)</f>
        <v>Cypress Mtn Nordic Area</v>
      </c>
      <c r="E22" s="34" t="str">
        <f ca="1">IF(ISBLANK(Control_7 Establishment_2),"",Control_7 Establishment_2)</f>
        <v xml:space="preserve">Washrooms.  </v>
      </c>
      <c r="F22" s="106" t="str">
        <f ca="1">IF(ISBLANK('Control Entry'!J20),"",'Control Entry'!J20)</f>
        <v/>
      </c>
      <c r="G22" s="107"/>
      <c r="H22" s="29" t="s">
        <v>29</v>
      </c>
      <c r="J22" s="60" t="s">
        <v>45</v>
      </c>
      <c r="K22" s="60"/>
      <c r="L22" s="149"/>
      <c r="M22" s="149"/>
      <c r="N22" s="149"/>
      <c r="O22" s="19"/>
      <c r="P22" s="18" t="s">
        <v>1</v>
      </c>
      <c r="Q22" s="18"/>
      <c r="R22" s="19"/>
      <c r="S22" s="125"/>
      <c r="T22" s="125"/>
      <c r="U22" s="125"/>
    </row>
    <row r="23" spans="1:22" ht="36" customHeight="1" thickBot="1">
      <c r="A23" s="35"/>
      <c r="B23" s="36">
        <f ca="1">Control_7 Open_time</f>
        <v>45115.535416666666</v>
      </c>
      <c r="C23" s="36">
        <f ca="1">Control_7 Close_time</f>
        <v>45115.84375</v>
      </c>
      <c r="D23" s="37"/>
      <c r="E23" s="38" t="str">
        <f ca="1">IF(ISBLANK(Control_7 Establishment_3),"",Control_7 Establishment_3)</f>
        <v/>
      </c>
      <c r="F23" s="111" t="str">
        <f ca="1">IF(ISBLANK('Control Entry'!K20),"",'Control Entry'!K20)</f>
        <v/>
      </c>
      <c r="G23" s="110"/>
      <c r="H23" s="29" t="s">
        <v>29</v>
      </c>
      <c r="J23" s="60"/>
      <c r="K23" s="60"/>
      <c r="L23" s="51"/>
      <c r="M23" s="51"/>
      <c r="N23" s="51"/>
      <c r="O23" s="23"/>
      <c r="P23" s="59"/>
      <c r="Q23" s="59"/>
      <c r="R23" s="23"/>
      <c r="S23" s="23"/>
      <c r="T23" s="23"/>
      <c r="U23" s="23"/>
      <c r="V23" s="30"/>
    </row>
    <row r="24" spans="1:22" ht="36" customHeight="1" thickBot="1">
      <c r="A24" s="31"/>
      <c r="B24" s="32">
        <f ca="1">Control_8 Open_time</f>
        <v>45115.538888888885</v>
      </c>
      <c r="C24" s="32">
        <f ca="1">Control_8 Close_time</f>
        <v>45115.854166666664</v>
      </c>
      <c r="D24" s="39"/>
      <c r="E24" s="34" t="str">
        <f ca="1">IF(ISBLANK(Control_8 Establishment_1),"",Control_8 Establishment_1)</f>
        <v/>
      </c>
      <c r="F24" s="106" t="str">
        <f ca="1">IF(ISBLANK('Control Entry'!I21),"",'Control Entry'!I21)</f>
        <v/>
      </c>
      <c r="G24" s="107"/>
      <c r="H24" s="29" t="s">
        <v>29</v>
      </c>
      <c r="J24" s="125"/>
      <c r="K24" s="125"/>
      <c r="L24" s="125"/>
      <c r="M24" s="125"/>
      <c r="N24" s="125"/>
      <c r="O24" s="19"/>
      <c r="P24" s="18" t="s">
        <v>2</v>
      </c>
      <c r="Q24" s="18"/>
      <c r="R24" s="19"/>
      <c r="S24" s="125"/>
      <c r="T24" s="125"/>
      <c r="U24" s="125"/>
    </row>
    <row r="25" spans="1:22" ht="36" customHeight="1">
      <c r="A25" s="40">
        <f ca="1">IF(ISBLANK(Distance Control_8),"",Control_8 Distance)</f>
        <v>201.5</v>
      </c>
      <c r="B25" s="41">
        <f ca="1">Control_8 Open_time</f>
        <v>45115.538888888885</v>
      </c>
      <c r="C25" s="41">
        <f ca="1">Control_8 Close_time</f>
        <v>45115.854166666664</v>
      </c>
      <c r="D25" s="42" t="str">
        <f ca="1">IF(ISBLANK(Locale Control_8),"",Locale Control_8)</f>
        <v>Cypress Mtn Alpine</v>
      </c>
      <c r="E25" s="56" t="str">
        <f ca="1">IF(ISBLANK(Control_8 Establishment_2),"",Control_8 Establishment_2)</f>
        <v>Crazy Raven Bar and Grill</v>
      </c>
      <c r="F25" s="106" t="str">
        <f ca="1">IF(ISBLANK('Control Entry'!J21),"",'Control Entry'!J21)</f>
        <v/>
      </c>
      <c r="G25" s="107"/>
      <c r="H25" s="29" t="s">
        <v>29</v>
      </c>
      <c r="J25" s="142" t="s">
        <v>17</v>
      </c>
      <c r="K25" s="142"/>
      <c r="L25" s="142"/>
      <c r="M25" s="142"/>
      <c r="N25" s="142"/>
      <c r="O25" s="53"/>
      <c r="P25" s="129"/>
      <c r="Q25" s="129"/>
      <c r="R25" s="53"/>
      <c r="S25" s="130"/>
      <c r="T25" s="130"/>
      <c r="U25" s="130"/>
      <c r="V25" s="130"/>
    </row>
    <row r="26" spans="1:22" ht="36" customHeight="1" thickBot="1">
      <c r="A26" s="35"/>
      <c r="B26" s="36">
        <f ca="1">Control_8 Open_time</f>
        <v>45115.538888888885</v>
      </c>
      <c r="C26" s="36">
        <f ca="1">Control_8 Close_time</f>
        <v>45115.854166666664</v>
      </c>
      <c r="D26" s="37"/>
      <c r="E26" s="38" t="str">
        <f ca="1">IF(ISBLANK(Control_8 Establishment_3),"",Control_8 Establishment_3)</f>
        <v/>
      </c>
      <c r="F26" s="111" t="str">
        <f ca="1">IF(ISBLANK('Control Entry'!K21),"",'Control Entry'!K21)</f>
        <v/>
      </c>
      <c r="G26" s="110"/>
      <c r="H26" s="29" t="s">
        <v>29</v>
      </c>
    </row>
    <row r="27" spans="1:22" ht="36" customHeight="1">
      <c r="A27" s="31"/>
      <c r="B27" s="32" t="str">
        <f ca="1">Control_9 Open_time</f>
        <v/>
      </c>
      <c r="C27" s="32" t="str">
        <f ca="1">Control_9 Close_time</f>
        <v/>
      </c>
      <c r="D27" s="39"/>
      <c r="E27" s="34" t="str">
        <f ca="1">IF(ISBLANK(Control_9 Establishment_1),"",Control_9 Establishment_1)</f>
        <v/>
      </c>
      <c r="F27" s="106" t="str">
        <f ca="1">IF(ISBLANK('Control Entry'!I22),"",'Control Entry'!I22)</f>
        <v/>
      </c>
      <c r="G27" s="107"/>
      <c r="H27" s="29" t="s">
        <v>29</v>
      </c>
      <c r="K27" s="141" t="s">
        <v>56</v>
      </c>
      <c r="L27" s="129"/>
      <c r="M27" s="52" t="s">
        <v>57</v>
      </c>
      <c r="N27" s="129" t="s">
        <v>49</v>
      </c>
      <c r="O27" s="129"/>
      <c r="P27" s="129" t="s">
        <v>50</v>
      </c>
      <c r="Q27" s="129"/>
      <c r="R27" s="53" t="s">
        <v>51</v>
      </c>
      <c r="S27" s="130" t="s">
        <v>52</v>
      </c>
      <c r="T27" s="130"/>
      <c r="U27" s="130" t="s">
        <v>53</v>
      </c>
      <c r="V27" s="130"/>
    </row>
    <row r="28" spans="1:22" ht="36" customHeight="1">
      <c r="A28" s="40" t="str">
        <f ca="1">IF(ISBLANK(Distance Control_9),"",Control_9 Distance)</f>
        <v/>
      </c>
      <c r="B28" s="41" t="str">
        <f ca="1">Control_9 Open_time</f>
        <v/>
      </c>
      <c r="C28" s="41" t="str">
        <f ca="1">Control_9 Close_time</f>
        <v/>
      </c>
      <c r="D28" s="42" t="str">
        <f ca="1">IF(ISBLANK(Locale Control_9),"",Locale Control_9)</f>
        <v/>
      </c>
      <c r="E28" s="34" t="str">
        <f ca="1">IF(ISBLANK(Control_9 Establishment_2),"",Control_9 Establishment_2)</f>
        <v/>
      </c>
      <c r="F28" s="106" t="str">
        <f ca="1">IF(ISBLANK('Control Entry'!J22),"",'Control Entry'!J22)</f>
        <v/>
      </c>
      <c r="G28" s="107"/>
      <c r="H28" s="29" t="s">
        <v>29</v>
      </c>
    </row>
    <row r="29" spans="1:22" ht="36" customHeight="1" thickBot="1">
      <c r="A29" s="35"/>
      <c r="B29" s="36" t="str">
        <f ca="1">Control_9 Open_time</f>
        <v/>
      </c>
      <c r="C29" s="36" t="str">
        <f ca="1">Control_9 Close_time</f>
        <v/>
      </c>
      <c r="D29" s="37"/>
      <c r="E29" s="38" t="str">
        <f ca="1">IF(ISBLANK(Control_9 Establishment_3),"",Control_9 Establishment_3)</f>
        <v/>
      </c>
      <c r="F29" s="111" t="str">
        <f ca="1">IF(ISBLANK('Control Entry'!K22),"",'Control Entry'!K22)</f>
        <v/>
      </c>
      <c r="G29" s="110"/>
      <c r="H29" s="29" t="s">
        <v>29</v>
      </c>
      <c r="M29" s="128" t="s">
        <v>42</v>
      </c>
      <c r="N29" s="128"/>
      <c r="O29" s="128"/>
      <c r="P29" s="128"/>
      <c r="Q29" s="128"/>
      <c r="R29" s="128"/>
      <c r="S29" s="128"/>
      <c r="T29" s="128"/>
      <c r="U29" s="57"/>
    </row>
    <row r="30" spans="1:22" ht="36" customHeight="1">
      <c r="A30" s="31"/>
      <c r="B30" s="32" t="str">
        <f ca="1">Control_10 Open_time</f>
        <v/>
      </c>
      <c r="C30" s="32" t="str">
        <f ca="1">Control_10 Close_time</f>
        <v/>
      </c>
      <c r="D30" s="39"/>
      <c r="E30" s="34" t="str">
        <f ca="1">IF(ISBLANK(Control_10 Establishment_1),"",Control_10 Establishment_1)</f>
        <v/>
      </c>
      <c r="F30" s="106" t="str">
        <f ca="1">IF(ISBLANK('Control Entry'!I23),"",'Control Entry'!I23)</f>
        <v/>
      </c>
      <c r="G30" s="107"/>
      <c r="H30" s="29" t="s">
        <v>29</v>
      </c>
      <c r="M30" s="16"/>
      <c r="N30" s="21"/>
      <c r="O30" s="21"/>
      <c r="P30" s="22"/>
      <c r="Q30" s="21"/>
      <c r="R30" s="21"/>
      <c r="S30" s="21"/>
      <c r="T30" s="22"/>
      <c r="U30" s="23"/>
    </row>
    <row r="31" spans="1:22" ht="36" customHeight="1">
      <c r="A31" s="40" t="str">
        <f ca="1">IF(ISBLANK(Distance Control_10),"",Control_10 Distance)</f>
        <v/>
      </c>
      <c r="B31" s="41" t="str">
        <f ca="1">Control_10 Open_time</f>
        <v/>
      </c>
      <c r="C31" s="41" t="str">
        <f ca="1">Control_10 Close_time</f>
        <v/>
      </c>
      <c r="D31" s="42" t="str">
        <f ca="1">IF(ISBLANK(Locale Control_10),"",Locale Control_10)</f>
        <v/>
      </c>
      <c r="E31" s="34" t="str">
        <f ca="1">IF(ISBLANK(Control_10 Establishment_2),"",Control_10 Establishment_2)</f>
        <v/>
      </c>
      <c r="F31" s="106" t="str">
        <f ca="1">IF(ISBLANK('Control Entry'!J23),"",'Control Entry'!J23)</f>
        <v/>
      </c>
      <c r="G31" s="107"/>
      <c r="H31" s="29" t="s">
        <v>29</v>
      </c>
      <c r="M31" s="17"/>
      <c r="N31" s="23"/>
      <c r="O31" s="23"/>
      <c r="P31" s="24"/>
      <c r="Q31" s="23"/>
      <c r="R31" s="23"/>
      <c r="S31" s="23"/>
      <c r="T31" s="24"/>
      <c r="U31" s="23"/>
    </row>
    <row r="32" spans="1:22" ht="36" customHeight="1" thickBot="1">
      <c r="A32" s="35"/>
      <c r="B32" s="36" t="str">
        <f ca="1">Control_10 Open_time</f>
        <v/>
      </c>
      <c r="C32" s="36" t="str">
        <f ca="1">Control_10 Close_time</f>
        <v/>
      </c>
      <c r="D32" s="37"/>
      <c r="E32" s="38" t="str">
        <f ca="1">IF(ISBLANK(Control_10 Establishment_3),"",Control_10 Establishment_3)</f>
        <v/>
      </c>
      <c r="F32" s="111" t="str">
        <f ca="1">IF(ISBLANK('Control Entry'!K23),"",'Control Entry'!K23)</f>
        <v/>
      </c>
      <c r="G32" s="110"/>
      <c r="H32" s="29" t="s">
        <v>29</v>
      </c>
      <c r="M32" s="55"/>
      <c r="N32" s="20"/>
      <c r="O32" s="20"/>
      <c r="P32" s="25"/>
      <c r="Q32" s="20"/>
      <c r="R32" s="20"/>
      <c r="S32" s="20"/>
      <c r="T32" s="25"/>
      <c r="U32" s="23"/>
    </row>
    <row r="33" spans="1:22" ht="36" customHeight="1">
      <c r="A33" s="147" t="s">
        <v>43</v>
      </c>
      <c r="B33" s="147"/>
      <c r="C33" s="147"/>
      <c r="D33" s="147"/>
      <c r="E33" s="147"/>
      <c r="F33" s="147"/>
      <c r="G33" s="147"/>
      <c r="H33" s="43"/>
      <c r="I33" s="43"/>
      <c r="M33" s="131" t="s">
        <v>82</v>
      </c>
      <c r="N33" s="132"/>
      <c r="O33" s="132"/>
      <c r="P33" s="132"/>
      <c r="Q33" s="133">
        <f ca="1">'Control Entry'!B3</f>
        <v>44674</v>
      </c>
      <c r="R33" s="134"/>
      <c r="S33" s="134"/>
      <c r="T33" s="134"/>
      <c r="U33" s="102"/>
      <c r="V33" s="51"/>
    </row>
    <row r="34" spans="1:22" ht="36" customHeight="1">
      <c r="A34"/>
      <c r="O34" s="49"/>
      <c r="P34" s="49"/>
      <c r="Q34" s="49"/>
      <c r="R34" s="48"/>
    </row>
    <row r="35" spans="1:22" ht="36" customHeight="1">
      <c r="A35"/>
      <c r="N35" s="128"/>
      <c r="O35" s="128"/>
      <c r="P35" s="128"/>
      <c r="Q35" s="128"/>
      <c r="R35" s="128"/>
      <c r="S35" s="128"/>
      <c r="T35" s="128"/>
      <c r="U35" s="128"/>
    </row>
    <row r="36" spans="1:22" ht="36" customHeight="1">
      <c r="A36"/>
      <c r="N36" s="30"/>
      <c r="O36" s="23"/>
      <c r="P36" s="23"/>
      <c r="Q36" s="23"/>
      <c r="R36" s="23"/>
      <c r="S36" s="23"/>
      <c r="T36" s="23"/>
      <c r="U36" s="23"/>
    </row>
    <row r="37" spans="1:22" ht="36" customHeight="1">
      <c r="A37"/>
      <c r="N37" s="30"/>
      <c r="O37" s="23"/>
      <c r="P37" s="23"/>
      <c r="Q37" s="23"/>
      <c r="R37" s="23"/>
      <c r="S37" s="23"/>
      <c r="T37" s="23"/>
      <c r="U37" s="23"/>
    </row>
    <row r="38" spans="1:22" ht="36" customHeight="1">
      <c r="A38"/>
      <c r="N38" s="58"/>
      <c r="O38" s="23"/>
      <c r="P38" s="23"/>
      <c r="Q38" s="23"/>
      <c r="R38" s="23"/>
      <c r="S38" s="23"/>
      <c r="T38" s="23"/>
      <c r="U38" s="23"/>
    </row>
    <row r="39" spans="1:22" ht="36" customHeight="1">
      <c r="A39"/>
    </row>
    <row r="40" spans="1:22" ht="36" customHeight="1">
      <c r="A40"/>
    </row>
  </sheetData>
  <sheetProtection sheet="1" objects="1" scenarios="1" formatCells="0" selectLockedCells="1"/>
  <mergeCells count="39">
    <mergeCell ref="A33:G33"/>
    <mergeCell ref="M4:T4"/>
    <mergeCell ref="P25:Q25"/>
    <mergeCell ref="S25:T25"/>
    <mergeCell ref="L10:U10"/>
    <mergeCell ref="L16:U16"/>
    <mergeCell ref="L22:N22"/>
    <mergeCell ref="S22:U22"/>
    <mergeCell ref="R5:U5"/>
    <mergeCell ref="L13:N13"/>
    <mergeCell ref="K27:L27"/>
    <mergeCell ref="J25:N25"/>
    <mergeCell ref="S20:U20"/>
    <mergeCell ref="L15:U15"/>
    <mergeCell ref="L11:N11"/>
    <mergeCell ref="S11:U11"/>
    <mergeCell ref="L20:N20"/>
    <mergeCell ref="K2:U2"/>
    <mergeCell ref="L8:Q8"/>
    <mergeCell ref="A1:G1"/>
    <mergeCell ref="O3:R3"/>
    <mergeCell ref="L6:U6"/>
    <mergeCell ref="U25:V25"/>
    <mergeCell ref="N5:O5"/>
    <mergeCell ref="L9:U9"/>
    <mergeCell ref="N35:U35"/>
    <mergeCell ref="M29:T29"/>
    <mergeCell ref="N27:O27"/>
    <mergeCell ref="P27:Q27"/>
    <mergeCell ref="S27:T27"/>
    <mergeCell ref="U27:V27"/>
    <mergeCell ref="M33:P33"/>
    <mergeCell ref="Q33:T33"/>
    <mergeCell ref="L12:N12"/>
    <mergeCell ref="S12:U12"/>
    <mergeCell ref="S24:U24"/>
    <mergeCell ref="J24:N24"/>
    <mergeCell ref="R13:U13"/>
    <mergeCell ref="T8:U8"/>
  </mergeCells>
  <phoneticPr fontId="12" type="noConversion"/>
  <pageMargins left="0.2" right="0.2" top="0.2" bottom="0.2" header="0.51" footer="0.51"/>
  <pageSetup scale="46" orientation="landscape" r:id="rId1"/>
  <ignoredErrors>
    <ignoredError sqref="L20" unlockedFormula="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V40"/>
  <sheetViews>
    <sheetView showGridLines="0" zoomScale="92" zoomScaleNormal="92" zoomScalePageLayoutView="92" workbookViewId="0">
      <selection activeCell="L8" sqref="L8:Q8"/>
    </sheetView>
  </sheetViews>
  <sheetFormatPr defaultColWidth="8.85546875" defaultRowHeight="12.75"/>
  <cols>
    <col min="1" max="1" width="8.42578125" style="1" customWidth="1"/>
    <col min="2" max="2" width="11.42578125" customWidth="1"/>
    <col min="3" max="3" width="11.7109375" customWidth="1"/>
    <col min="4" max="4" width="18" customWidth="1"/>
    <col min="5" max="5" width="23.85546875" customWidth="1"/>
    <col min="6" max="6" width="42" customWidth="1"/>
    <col min="7" max="7" width="13.42578125" customWidth="1"/>
    <col min="8" max="8" width="8" style="30" customWidth="1"/>
    <col min="9" max="9" width="12" customWidth="1"/>
    <col min="18" max="19" width="8.85546875" customWidth="1"/>
  </cols>
  <sheetData>
    <row r="1" spans="1:22" ht="21" thickBot="1">
      <c r="A1" s="137" t="s">
        <v>74</v>
      </c>
      <c r="B1" s="137"/>
      <c r="C1" s="137"/>
      <c r="D1" s="137"/>
      <c r="E1" s="137"/>
      <c r="F1" s="137"/>
      <c r="G1" s="137"/>
      <c r="H1" s="29" t="s">
        <v>29</v>
      </c>
    </row>
    <row r="2" spans="1:22" ht="33.75" customHeight="1" thickBot="1">
      <c r="A2" s="76" t="s">
        <v>30</v>
      </c>
      <c r="B2" s="9" t="s">
        <v>3</v>
      </c>
      <c r="C2" s="9" t="s">
        <v>4</v>
      </c>
      <c r="D2" s="9" t="s">
        <v>25</v>
      </c>
      <c r="E2" s="9" t="s">
        <v>31</v>
      </c>
      <c r="F2" s="9" t="s">
        <v>59</v>
      </c>
      <c r="G2" s="76" t="s">
        <v>32</v>
      </c>
      <c r="H2" s="29" t="s">
        <v>29</v>
      </c>
      <c r="K2" s="135" t="s">
        <v>55</v>
      </c>
      <c r="L2" s="135"/>
      <c r="M2" s="135"/>
      <c r="N2" s="135"/>
      <c r="O2" s="135"/>
      <c r="P2" s="135"/>
      <c r="Q2" s="135"/>
      <c r="R2" s="135"/>
      <c r="S2" s="135"/>
      <c r="T2" s="135"/>
      <c r="U2" s="135"/>
    </row>
    <row r="3" spans="1:22" ht="36" customHeight="1">
      <c r="A3" s="31"/>
      <c r="B3" s="32" t="str">
        <f ca="1">'Control Entry'!N27</f>
        <v/>
      </c>
      <c r="C3" s="32" t="str">
        <f ca="1">'Control Entry'!O27</f>
        <v/>
      </c>
      <c r="D3" s="33"/>
      <c r="E3" s="34" t="str">
        <f ca="1">IF(ISBLANK('Control Entry'!F27),"",'Control Entry'!F27)</f>
        <v/>
      </c>
      <c r="F3" s="106" t="str">
        <f ca="1">IF(ISBLANK('Control Entry'!I27),"",'Control Entry'!I27)</f>
        <v/>
      </c>
      <c r="G3" s="107"/>
      <c r="H3" s="29" t="s">
        <v>29</v>
      </c>
      <c r="K3" s="14"/>
      <c r="O3" s="138" t="s">
        <v>73</v>
      </c>
      <c r="P3" s="138"/>
      <c r="Q3" s="138"/>
      <c r="R3" s="138"/>
      <c r="S3" s="92" t="str">
        <f ca="1">IF('Control Entry'!D27=0,"","#2")</f>
        <v/>
      </c>
      <c r="U3" s="44"/>
    </row>
    <row r="4" spans="1:22" ht="36" customHeight="1">
      <c r="A4" s="40" t="str">
        <f ca="1">IF(ISBLANK('Control Entry'!D27),"",'Control Entry'!D27)</f>
        <v/>
      </c>
      <c r="B4" s="41" t="str">
        <f ca="1">'Control Entry'!N27</f>
        <v/>
      </c>
      <c r="C4" s="41" t="str">
        <f ca="1">'Control Entry'!O27</f>
        <v/>
      </c>
      <c r="D4" s="42" t="str">
        <f ca="1">IF(ISBLANK('Control Entry'!E27),"",'Control Entry'!E27)</f>
        <v/>
      </c>
      <c r="E4" s="34" t="str">
        <f ca="1">IF(ISBLANK('Control Entry'!G27),"",'Control Entry'!G27)</f>
        <v/>
      </c>
      <c r="F4" s="106" t="str">
        <f ca="1">IF(ISBLANK('Control Entry'!J27),"",'Control Entry'!J27)</f>
        <v/>
      </c>
      <c r="G4" s="107"/>
      <c r="H4" s="29" t="s">
        <v>29</v>
      </c>
      <c r="K4" s="14"/>
      <c r="M4" s="141" t="str">
        <f ca="1">IF(ISBLANK(brevet),"",brevet&amp;" km Randonnée")</f>
        <v>200 km Randonnée</v>
      </c>
      <c r="N4" s="141"/>
      <c r="O4" s="141"/>
      <c r="P4" s="141"/>
      <c r="Q4" s="141"/>
      <c r="R4" s="141"/>
      <c r="S4" s="141"/>
      <c r="T4" s="141"/>
      <c r="U4" s="45"/>
    </row>
    <row r="5" spans="1:22" ht="36" customHeight="1" thickBot="1">
      <c r="A5" s="35"/>
      <c r="B5" s="36" t="str">
        <f ca="1">'Control Entry'!N27</f>
        <v/>
      </c>
      <c r="C5" s="36" t="str">
        <f ca="1">'Control Entry'!O27</f>
        <v/>
      </c>
      <c r="D5" s="37"/>
      <c r="E5" s="38" t="str">
        <f ca="1">IF(ISBLANK('Control Entry'!H27),"",'Control Entry'!H27)</f>
        <v/>
      </c>
      <c r="F5" s="111" t="str">
        <f ca="1">IF(ISBLANK('Control Entry'!K27),"",'Control Entry'!K27)</f>
        <v/>
      </c>
      <c r="G5" s="110"/>
      <c r="H5" s="29" t="s">
        <v>29</v>
      </c>
      <c r="K5" s="14"/>
      <c r="M5" s="15"/>
      <c r="N5" s="140" t="s">
        <v>47</v>
      </c>
      <c r="O5" s="140"/>
      <c r="P5" s="63">
        <f ca="1">IF(ISBLANK(Brevet_Number),"",Brevet_Number)</f>
        <v>5249</v>
      </c>
      <c r="Q5" s="64"/>
      <c r="R5" s="150">
        <f ca="1">IF(ISBLANK('Control Entry'!$B9),"",'Control Entry'!$B9)</f>
        <v>45115</v>
      </c>
      <c r="S5" s="150"/>
      <c r="T5" s="150"/>
      <c r="U5" s="150"/>
      <c r="V5" s="46"/>
    </row>
    <row r="6" spans="1:22" ht="36" customHeight="1">
      <c r="A6" s="31"/>
      <c r="B6" s="32" t="str">
        <f ca="1">'Control Entry'!N28</f>
        <v/>
      </c>
      <c r="C6" s="32" t="str">
        <f ca="1">'Control Entry'!O28</f>
        <v/>
      </c>
      <c r="D6" s="39"/>
      <c r="E6" s="34" t="str">
        <f ca="1">IF(ISBLANK('Control Entry'!F28),"",'Control Entry'!F28)</f>
        <v/>
      </c>
      <c r="F6" s="106" t="str">
        <f ca="1">IF(ISBLANK('Control Entry'!I28),"",'Control Entry'!I28)</f>
        <v/>
      </c>
      <c r="G6" s="107"/>
      <c r="H6" s="29" t="s">
        <v>29</v>
      </c>
      <c r="K6" s="14"/>
      <c r="L6" s="139" t="str">
        <f ca="1">IF(ISBLANK(Brevet_Description),"",Brevet_Description)</f>
        <v>Summit Finish 200 III</v>
      </c>
      <c r="M6" s="139"/>
      <c r="N6" s="139"/>
      <c r="O6" s="139"/>
      <c r="P6" s="139"/>
      <c r="Q6" s="139"/>
      <c r="R6" s="139"/>
      <c r="S6" s="139"/>
      <c r="T6" s="139"/>
      <c r="U6" s="139"/>
    </row>
    <row r="7" spans="1:22" ht="36" customHeight="1">
      <c r="A7" s="40" t="str">
        <f ca="1">IF(ISBLANK('Control Entry'!D28),"",'Control Entry'!D28)</f>
        <v/>
      </c>
      <c r="B7" s="41" t="str">
        <f ca="1">'Control Entry'!N28</f>
        <v/>
      </c>
      <c r="C7" s="41" t="str">
        <f ca="1">'Control Entry'!O28</f>
        <v/>
      </c>
      <c r="D7" s="42" t="str">
        <f ca="1">IF(ISBLANK('Control Entry'!E28),"",'Control Entry'!E28)</f>
        <v/>
      </c>
      <c r="E7" s="34" t="str">
        <f ca="1">IF(ISBLANK('Control Entry'!G28),"",'Control Entry'!G28)</f>
        <v/>
      </c>
      <c r="F7" s="106" t="str">
        <f ca="1">IF(ISBLANK('Control Entry'!J28),"",'Control Entry'!J28)</f>
        <v/>
      </c>
      <c r="G7" s="107"/>
      <c r="H7" s="29" t="s">
        <v>29</v>
      </c>
    </row>
    <row r="8" spans="1:22" ht="36" customHeight="1" thickBot="1">
      <c r="A8" s="35"/>
      <c r="B8" s="36" t="str">
        <f ca="1">'Control Entry'!N28</f>
        <v/>
      </c>
      <c r="C8" s="36" t="str">
        <f ca="1">'Control Entry'!O28</f>
        <v/>
      </c>
      <c r="D8" s="37"/>
      <c r="E8" s="38" t="str">
        <f ca="1">IF(ISBLANK('Control Entry'!H28),"",'Control Entry'!H28)</f>
        <v/>
      </c>
      <c r="F8" s="111" t="str">
        <f ca="1">IF(ISBLANK('Control Entry'!K28),"",'Control Entry'!K28)</f>
        <v/>
      </c>
      <c r="G8" s="110"/>
      <c r="H8" s="29" t="s">
        <v>29</v>
      </c>
      <c r="J8" s="15" t="s">
        <v>34</v>
      </c>
      <c r="L8" s="136"/>
      <c r="M8" s="136"/>
      <c r="N8" s="136"/>
      <c r="O8" s="136"/>
      <c r="P8" s="136"/>
      <c r="Q8" s="136"/>
      <c r="R8" s="30"/>
      <c r="S8" s="47" t="s">
        <v>46</v>
      </c>
      <c r="T8" s="127"/>
      <c r="U8" s="127"/>
    </row>
    <row r="9" spans="1:22" ht="36" customHeight="1" thickBot="1">
      <c r="A9" s="31"/>
      <c r="B9" s="32" t="str">
        <f ca="1">'Control Entry'!N29</f>
        <v/>
      </c>
      <c r="C9" s="32" t="str">
        <f ca="1">'Control Entry'!O29</f>
        <v/>
      </c>
      <c r="D9" s="39"/>
      <c r="E9" s="34" t="str">
        <f ca="1">IF(ISBLANK('Control Entry'!F29),"",'Control Entry'!F29)</f>
        <v/>
      </c>
      <c r="F9" s="106" t="str">
        <f ca="1">IF(ISBLANK('Control Entry'!I29),"",'Control Entry'!I29)</f>
        <v/>
      </c>
      <c r="G9" s="107"/>
      <c r="H9" s="29" t="s">
        <v>29</v>
      </c>
      <c r="J9" s="15" t="s">
        <v>35</v>
      </c>
      <c r="K9" s="15"/>
      <c r="L9" s="145" t="s">
        <v>54</v>
      </c>
      <c r="M9" s="145"/>
      <c r="N9" s="145"/>
      <c r="O9" s="145"/>
      <c r="P9" s="145"/>
      <c r="Q9" s="145"/>
      <c r="R9" s="145"/>
      <c r="S9" s="145"/>
      <c r="T9" s="145"/>
      <c r="U9" s="145"/>
    </row>
    <row r="10" spans="1:22" ht="36" customHeight="1" thickBot="1">
      <c r="A10" s="40" t="str">
        <f ca="1">IF(ISBLANK('Control Entry'!D29),"",'Control Entry'!D29)</f>
        <v/>
      </c>
      <c r="B10" s="41" t="str">
        <f ca="1">'Control Entry'!N29</f>
        <v/>
      </c>
      <c r="C10" s="41" t="str">
        <f ca="1">'Control Entry'!O29</f>
        <v/>
      </c>
      <c r="D10" s="42" t="str">
        <f ca="1">IF(ISBLANK('Control Entry'!E29),"",'Control Entry'!E29)</f>
        <v/>
      </c>
      <c r="E10" s="34" t="str">
        <f ca="1">IF(ISBLANK('Control Entry'!G29),"",'Control Entry'!G29)</f>
        <v/>
      </c>
      <c r="F10" s="106" t="str">
        <f ca="1">IF(ISBLANK('Control Entry'!J29),"",'Control Entry'!J29)</f>
        <v/>
      </c>
      <c r="G10" s="107"/>
      <c r="H10" s="29" t="s">
        <v>29</v>
      </c>
      <c r="J10" s="15"/>
      <c r="K10" s="15"/>
      <c r="L10" s="123"/>
      <c r="M10" s="123"/>
      <c r="N10" s="123"/>
      <c r="O10" s="123"/>
      <c r="P10" s="123"/>
      <c r="Q10" s="123"/>
      <c r="R10" s="123"/>
      <c r="S10" s="123"/>
      <c r="T10" s="123"/>
      <c r="U10" s="123"/>
    </row>
    <row r="11" spans="1:22" ht="36" customHeight="1" thickBot="1">
      <c r="A11" s="35"/>
      <c r="B11" s="36" t="str">
        <f ca="1">'Control Entry'!N29</f>
        <v/>
      </c>
      <c r="C11" s="36" t="str">
        <f ca="1">'Control Entry'!O29</f>
        <v/>
      </c>
      <c r="D11" s="37"/>
      <c r="E11" s="38" t="str">
        <f ca="1">IF(ISBLANK('Control Entry'!H29),"",'Control Entry'!H29)</f>
        <v/>
      </c>
      <c r="F11" s="111" t="str">
        <f ca="1">IF(ISBLANK('Control Entry'!K29),"",'Control Entry'!K29)</f>
        <v/>
      </c>
      <c r="G11" s="110"/>
      <c r="H11" s="29" t="s">
        <v>29</v>
      </c>
      <c r="J11" s="15" t="s">
        <v>36</v>
      </c>
      <c r="K11" s="15"/>
      <c r="L11" s="123"/>
      <c r="M11" s="123"/>
      <c r="N11" s="123"/>
      <c r="O11" s="18"/>
      <c r="P11" s="18" t="s">
        <v>37</v>
      </c>
      <c r="Q11" s="18"/>
      <c r="R11" s="18"/>
      <c r="S11" s="124"/>
      <c r="T11" s="124"/>
      <c r="U11" s="124"/>
    </row>
    <row r="12" spans="1:22" ht="36" customHeight="1" thickBot="1">
      <c r="A12" s="31"/>
      <c r="B12" s="32" t="str">
        <f ca="1">'Control Entry'!N30</f>
        <v/>
      </c>
      <c r="C12" s="32" t="str">
        <f ca="1">'Control Entry'!O30</f>
        <v/>
      </c>
      <c r="D12" s="39"/>
      <c r="E12" s="34" t="str">
        <f ca="1">IF(ISBLANK('Control Entry'!F30),"",'Control Entry'!F30)</f>
        <v/>
      </c>
      <c r="F12" s="106" t="str">
        <f ca="1">IF(ISBLANK('Control Entry'!I30),"",'Control Entry'!I30)</f>
        <v/>
      </c>
      <c r="G12" s="107"/>
      <c r="H12" s="29" t="s">
        <v>29</v>
      </c>
      <c r="J12" s="15" t="s">
        <v>38</v>
      </c>
      <c r="K12" s="15"/>
      <c r="L12" s="123"/>
      <c r="M12" s="123"/>
      <c r="N12" s="123"/>
      <c r="O12" s="18"/>
      <c r="P12" s="18" t="s">
        <v>39</v>
      </c>
      <c r="Q12" s="18"/>
      <c r="R12" s="18"/>
      <c r="S12" s="124"/>
      <c r="T12" s="124"/>
      <c r="U12" s="124"/>
    </row>
    <row r="13" spans="1:22" ht="36" customHeight="1" thickBot="1">
      <c r="A13" s="40" t="str">
        <f ca="1">IF(ISBLANK('Control Entry'!D30),"",'Control Entry'!D30)</f>
        <v/>
      </c>
      <c r="B13" s="41" t="str">
        <f ca="1">'Control Entry'!N30</f>
        <v/>
      </c>
      <c r="C13" s="41" t="str">
        <f ca="1">'Control Entry'!O30</f>
        <v/>
      </c>
      <c r="D13" s="42" t="str">
        <f ca="1">IF(ISBLANK('Control Entry'!E30),"",'Control Entry'!E30)</f>
        <v/>
      </c>
      <c r="E13" s="34" t="str">
        <f ca="1">IF(ISBLANK('Control Entry'!G30),"",'Control Entry'!G30)</f>
        <v/>
      </c>
      <c r="F13" s="106" t="str">
        <f ca="1">IF(ISBLANK('Control Entry'!J30),"",'Control Entry'!J30)</f>
        <v/>
      </c>
      <c r="G13" s="107"/>
      <c r="H13" s="29" t="s">
        <v>29</v>
      </c>
      <c r="J13" s="15" t="s">
        <v>40</v>
      </c>
      <c r="L13" s="151"/>
      <c r="M13" s="151"/>
      <c r="N13" s="151"/>
      <c r="O13" s="19"/>
      <c r="P13" s="18" t="s">
        <v>41</v>
      </c>
      <c r="Q13" s="18"/>
      <c r="R13" s="126"/>
      <c r="S13" s="126"/>
      <c r="T13" s="126"/>
      <c r="U13" s="126"/>
    </row>
    <row r="14" spans="1:22" ht="36" customHeight="1" thickBot="1">
      <c r="A14" s="35"/>
      <c r="B14" s="36" t="str">
        <f ca="1">'Control Entry'!N30</f>
        <v/>
      </c>
      <c r="C14" s="36" t="str">
        <f ca="1">'Control Entry'!O30</f>
        <v/>
      </c>
      <c r="D14" s="37"/>
      <c r="E14" s="38" t="str">
        <f ca="1">IF(ISBLANK('Control Entry'!H30),"",'Control Entry'!H30)</f>
        <v/>
      </c>
      <c r="F14" s="111" t="str">
        <f ca="1">IF(ISBLANK('Control Entry'!K30),"",'Control Entry'!K30)</f>
        <v/>
      </c>
      <c r="G14" s="110"/>
      <c r="H14" s="29" t="s">
        <v>29</v>
      </c>
    </row>
    <row r="15" spans="1:22" ht="36" customHeight="1">
      <c r="A15" s="31"/>
      <c r="B15" s="32" t="str">
        <f ca="1">'Control Entry'!N31</f>
        <v/>
      </c>
      <c r="C15" s="32" t="str">
        <f ca="1">'Control Entry'!O31</f>
        <v/>
      </c>
      <c r="D15" s="39"/>
      <c r="E15" s="34" t="str">
        <f ca="1">IF(ISBLANK('Control Entry'!F31),"",'Control Entry'!F31)</f>
        <v/>
      </c>
      <c r="F15" s="106" t="str">
        <f ca="1">IF(ISBLANK('Control Entry'!I31),"",'Control Entry'!I31)</f>
        <v/>
      </c>
      <c r="G15" s="107"/>
      <c r="H15" s="29" t="s">
        <v>29</v>
      </c>
      <c r="J15" s="15"/>
      <c r="L15" s="144" t="s">
        <v>58</v>
      </c>
      <c r="M15" s="144"/>
      <c r="N15" s="144"/>
      <c r="O15" s="144"/>
      <c r="P15" s="144"/>
      <c r="Q15" s="144"/>
      <c r="R15" s="144"/>
      <c r="S15" s="144"/>
      <c r="T15" s="144"/>
      <c r="U15" s="144"/>
    </row>
    <row r="16" spans="1:22" ht="36" customHeight="1" thickBot="1">
      <c r="A16" s="40" t="str">
        <f ca="1">IF(ISBLANK('Control Entry'!D31),"",'Control Entry'!D31)</f>
        <v/>
      </c>
      <c r="B16" s="41" t="str">
        <f ca="1">'Control Entry'!N31</f>
        <v/>
      </c>
      <c r="C16" s="41" t="str">
        <f ca="1">'Control Entry'!O31</f>
        <v/>
      </c>
      <c r="D16" s="42" t="str">
        <f ca="1">IF(ISBLANK('Control Entry'!E31),"",'Control Entry'!E31)</f>
        <v/>
      </c>
      <c r="E16" s="34" t="str">
        <f ca="1">IF(ISBLANK('Control Entry'!G31),"",'Control Entry'!G31)</f>
        <v/>
      </c>
      <c r="F16" s="106" t="str">
        <f ca="1">IF(ISBLANK('Control Entry'!J31),"",'Control Entry'!J31)</f>
        <v/>
      </c>
      <c r="G16" s="107"/>
      <c r="H16" s="29" t="s">
        <v>29</v>
      </c>
      <c r="L16" s="148"/>
      <c r="M16" s="148"/>
      <c r="N16" s="148"/>
      <c r="O16" s="148"/>
      <c r="P16" s="148"/>
      <c r="Q16" s="148"/>
      <c r="R16" s="148"/>
      <c r="S16" s="148"/>
      <c r="T16" s="148"/>
      <c r="U16" s="148"/>
    </row>
    <row r="17" spans="1:22" ht="36" customHeight="1" thickBot="1">
      <c r="A17" s="35"/>
      <c r="B17" s="36" t="str">
        <f ca="1">'Control Entry'!N31</f>
        <v/>
      </c>
      <c r="C17" s="36" t="str">
        <f ca="1">'Control Entry'!O31</f>
        <v/>
      </c>
      <c r="D17" s="37"/>
      <c r="E17" s="38" t="str">
        <f ca="1">IF(ISBLANK('Control Entry'!H31),"",'Control Entry'!H31)</f>
        <v/>
      </c>
      <c r="F17" s="111" t="str">
        <f ca="1">IF(ISBLANK('Control Entry'!K31),"",'Control Entry'!K31)</f>
        <v/>
      </c>
      <c r="G17" s="110"/>
      <c r="H17" s="29" t="s">
        <v>29</v>
      </c>
    </row>
    <row r="18" spans="1:22" ht="36" customHeight="1">
      <c r="A18" s="31"/>
      <c r="B18" s="32" t="str">
        <f ca="1">'Control Entry'!N32</f>
        <v/>
      </c>
      <c r="C18" s="32" t="str">
        <f ca="1">'Control Entry'!O32</f>
        <v/>
      </c>
      <c r="D18" s="39"/>
      <c r="E18" s="34" t="str">
        <f ca="1">IF(ISBLANK('Control Entry'!F32),"",'Control Entry'!F32)</f>
        <v/>
      </c>
      <c r="F18" s="106" t="str">
        <f ca="1">IF(ISBLANK('Control Entry'!I32),"",'Control Entry'!I32)</f>
        <v/>
      </c>
      <c r="G18" s="107"/>
      <c r="H18" s="29" t="s">
        <v>29</v>
      </c>
    </row>
    <row r="19" spans="1:22" ht="36" customHeight="1">
      <c r="A19" s="40" t="str">
        <f ca="1">IF(ISBLANK('Control Entry'!D32),"",'Control Entry'!D32)</f>
        <v/>
      </c>
      <c r="B19" s="41" t="str">
        <f ca="1">'Control Entry'!N32</f>
        <v/>
      </c>
      <c r="C19" s="41" t="str">
        <f ca="1">'Control Entry'!O32</f>
        <v/>
      </c>
      <c r="D19" s="42" t="str">
        <f ca="1">IF(ISBLANK('Control Entry'!E32),"",'Control Entry'!E32)</f>
        <v/>
      </c>
      <c r="E19" s="34" t="str">
        <f ca="1">IF(ISBLANK('Control Entry'!G32),"",'Control Entry'!G32)</f>
        <v/>
      </c>
      <c r="F19" s="106" t="str">
        <f ca="1">IF(ISBLANK('Control Entry'!J32),"",'Control Entry'!J32)</f>
        <v/>
      </c>
      <c r="G19" s="107"/>
      <c r="H19" s="29" t="s">
        <v>29</v>
      </c>
    </row>
    <row r="20" spans="1:22" ht="36" customHeight="1" thickBot="1">
      <c r="A20" s="35"/>
      <c r="B20" s="36" t="str">
        <f ca="1">'Control Entry'!N32</f>
        <v/>
      </c>
      <c r="C20" s="36" t="str">
        <f ca="1">'Control Entry'!O32</f>
        <v/>
      </c>
      <c r="D20" s="37"/>
      <c r="E20" s="38" t="str">
        <f ca="1">IF(ISBLANK('Control Entry'!H32),"",'Control Entry'!H32)</f>
        <v/>
      </c>
      <c r="F20" s="111" t="str">
        <f ca="1">IF(ISBLANK('Control Entry'!K32),"",'Control Entry'!K32)</f>
        <v/>
      </c>
      <c r="G20" s="110"/>
      <c r="H20" s="29" t="s">
        <v>29</v>
      </c>
      <c r="J20" s="61" t="s">
        <v>44</v>
      </c>
      <c r="K20" s="61"/>
      <c r="L20" s="152">
        <f ca="1">IF(ISBLANK('Control Entry'!B11),"",'Control Entry'!B11)</f>
        <v>45115</v>
      </c>
      <c r="M20" s="152"/>
      <c r="N20" s="152"/>
      <c r="P20" s="18" t="s">
        <v>0</v>
      </c>
      <c r="Q20" s="18"/>
      <c r="S20" s="143">
        <f ca="1">IF(ISBLANK('Control Entry'!B12),"",'Control Entry'!B12)</f>
        <v>0.29166666666666669</v>
      </c>
      <c r="T20" s="143"/>
      <c r="U20" s="143"/>
    </row>
    <row r="21" spans="1:22" ht="36" customHeight="1">
      <c r="A21" s="31"/>
      <c r="B21" s="32" t="str">
        <f ca="1">'Control Entry'!N33</f>
        <v/>
      </c>
      <c r="C21" s="32" t="str">
        <f ca="1">'Control Entry'!O33</f>
        <v/>
      </c>
      <c r="D21" s="39"/>
      <c r="E21" s="34" t="str">
        <f ca="1">IF(ISBLANK('Control Entry'!F33),"",'Control Entry'!F33)</f>
        <v/>
      </c>
      <c r="F21" s="106" t="str">
        <f ca="1">IF(ISBLANK('Control Entry'!I33),"",'Control Entry'!I33)</f>
        <v/>
      </c>
      <c r="G21" s="107"/>
      <c r="H21" s="29" t="s">
        <v>29</v>
      </c>
      <c r="J21" s="61"/>
      <c r="K21" s="61"/>
      <c r="L21" s="51"/>
      <c r="M21" s="51"/>
      <c r="N21" s="51"/>
      <c r="P21" s="18"/>
      <c r="Q21" s="18"/>
      <c r="R21" s="23"/>
      <c r="S21" s="62"/>
      <c r="T21" s="62"/>
      <c r="U21" s="62"/>
      <c r="V21" s="30"/>
    </row>
    <row r="22" spans="1:22" ht="36" customHeight="1" thickBot="1">
      <c r="A22" s="40" t="str">
        <f ca="1">IF(ISBLANK('Control Entry'!D33),"",'Control Entry'!D33)</f>
        <v/>
      </c>
      <c r="B22" s="41" t="str">
        <f ca="1">'Control Entry'!N33</f>
        <v/>
      </c>
      <c r="C22" s="41" t="str">
        <f ca="1">'Control Entry'!O33</f>
        <v/>
      </c>
      <c r="D22" s="42" t="str">
        <f ca="1">IF(ISBLANK('Control Entry'!E33),"",'Control Entry'!E33)</f>
        <v/>
      </c>
      <c r="E22" s="34" t="str">
        <f ca="1">IF(ISBLANK('Control Entry'!G33),"",'Control Entry'!G33)</f>
        <v/>
      </c>
      <c r="F22" s="106" t="str">
        <f ca="1">IF(ISBLANK('Control Entry'!J33),"",'Control Entry'!J33)</f>
        <v/>
      </c>
      <c r="G22" s="107"/>
      <c r="H22" s="29" t="s">
        <v>29</v>
      </c>
      <c r="J22" s="60" t="s">
        <v>45</v>
      </c>
      <c r="K22" s="60"/>
      <c r="L22" s="149"/>
      <c r="M22" s="149"/>
      <c r="N22" s="149"/>
      <c r="O22" s="19"/>
      <c r="P22" s="18" t="s">
        <v>1</v>
      </c>
      <c r="Q22" s="18"/>
      <c r="R22" s="19"/>
      <c r="S22" s="125"/>
      <c r="T22" s="125"/>
      <c r="U22" s="125"/>
    </row>
    <row r="23" spans="1:22" ht="36" customHeight="1" thickBot="1">
      <c r="A23" s="35"/>
      <c r="B23" s="36" t="str">
        <f ca="1">'Control Entry'!N33</f>
        <v/>
      </c>
      <c r="C23" s="36" t="str">
        <f ca="1">'Control Entry'!O33</f>
        <v/>
      </c>
      <c r="D23" s="37"/>
      <c r="E23" s="38" t="str">
        <f ca="1">IF(ISBLANK('Control Entry'!H33),"",'Control Entry'!H33)</f>
        <v/>
      </c>
      <c r="F23" s="111" t="str">
        <f ca="1">IF(ISBLANK('Control Entry'!K33),"",'Control Entry'!K33)</f>
        <v/>
      </c>
      <c r="G23" s="110"/>
      <c r="H23" s="29" t="s">
        <v>29</v>
      </c>
      <c r="J23" s="60"/>
      <c r="K23" s="60"/>
      <c r="L23" s="51"/>
      <c r="M23" s="51"/>
      <c r="N23" s="51"/>
      <c r="O23" s="23"/>
      <c r="P23" s="59"/>
      <c r="Q23" s="59"/>
      <c r="R23" s="23"/>
      <c r="S23" s="23"/>
      <c r="T23" s="23"/>
      <c r="U23" s="23"/>
      <c r="V23" s="30"/>
    </row>
    <row r="24" spans="1:22" ht="36" customHeight="1" thickBot="1">
      <c r="A24" s="31"/>
      <c r="B24" s="32" t="str">
        <f ca="1">'Control Entry'!N34</f>
        <v/>
      </c>
      <c r="C24" s="32" t="str">
        <f ca="1">'Control Entry'!O34</f>
        <v/>
      </c>
      <c r="D24" s="39"/>
      <c r="E24" s="34" t="str">
        <f ca="1">IF(ISBLANK('Control Entry'!F34),"",'Control Entry'!F34)</f>
        <v/>
      </c>
      <c r="F24" s="106" t="str">
        <f ca="1">IF(ISBLANK('Control Entry'!I34),"",'Control Entry'!I34)</f>
        <v/>
      </c>
      <c r="G24" s="107"/>
      <c r="H24" s="29" t="s">
        <v>29</v>
      </c>
      <c r="J24" s="125"/>
      <c r="K24" s="125"/>
      <c r="L24" s="125"/>
      <c r="M24" s="125"/>
      <c r="N24" s="125"/>
      <c r="O24" s="19"/>
      <c r="P24" s="18" t="s">
        <v>2</v>
      </c>
      <c r="Q24" s="18"/>
      <c r="R24" s="19"/>
      <c r="S24" s="125"/>
      <c r="T24" s="125"/>
      <c r="U24" s="125"/>
    </row>
    <row r="25" spans="1:22" ht="36" customHeight="1">
      <c r="A25" s="40" t="str">
        <f ca="1">IF(ISBLANK('Control Entry'!D34),"",'Control Entry'!D34)</f>
        <v/>
      </c>
      <c r="B25" s="41" t="str">
        <f ca="1">'Control Entry'!N34</f>
        <v/>
      </c>
      <c r="C25" s="41" t="str">
        <f ca="1">'Control Entry'!O34</f>
        <v/>
      </c>
      <c r="D25" s="42" t="str">
        <f ca="1">IF(ISBLANK('Control Entry'!E34),"",'Control Entry'!E34)</f>
        <v/>
      </c>
      <c r="E25" s="34" t="str">
        <f ca="1">IF(ISBLANK('Control Entry'!G34),"",'Control Entry'!G34)</f>
        <v/>
      </c>
      <c r="F25" s="106" t="str">
        <f ca="1">IF(ISBLANK('Control Entry'!J34),"",'Control Entry'!J34)</f>
        <v/>
      </c>
      <c r="G25" s="107"/>
      <c r="H25" s="29" t="s">
        <v>29</v>
      </c>
      <c r="J25" s="142" t="s">
        <v>17</v>
      </c>
      <c r="K25" s="142"/>
      <c r="L25" s="142"/>
      <c r="M25" s="142"/>
      <c r="N25" s="142"/>
      <c r="O25" s="53"/>
      <c r="P25" s="129"/>
      <c r="Q25" s="129"/>
      <c r="R25" s="53"/>
      <c r="S25" s="130"/>
      <c r="T25" s="130"/>
      <c r="U25" s="130"/>
      <c r="V25" s="130"/>
    </row>
    <row r="26" spans="1:22" ht="36" customHeight="1" thickBot="1">
      <c r="A26" s="35"/>
      <c r="B26" s="36" t="str">
        <f ca="1">'Control Entry'!N34</f>
        <v/>
      </c>
      <c r="C26" s="36" t="str">
        <f ca="1">'Control Entry'!O34</f>
        <v/>
      </c>
      <c r="D26" s="37"/>
      <c r="E26" s="38" t="str">
        <f ca="1">IF(ISBLANK('Control Entry'!H34),"",'Control Entry'!H34)</f>
        <v/>
      </c>
      <c r="F26" s="111" t="str">
        <f ca="1">IF(ISBLANK('Control Entry'!K34),"",'Control Entry'!K34)</f>
        <v/>
      </c>
      <c r="G26" s="110"/>
      <c r="H26" s="29" t="s">
        <v>29</v>
      </c>
    </row>
    <row r="27" spans="1:22" ht="36" customHeight="1">
      <c r="A27" s="31"/>
      <c r="B27" s="32" t="str">
        <f ca="1">'Control Entry'!N35</f>
        <v/>
      </c>
      <c r="C27" s="32" t="str">
        <f ca="1">'Control Entry'!O35</f>
        <v/>
      </c>
      <c r="D27" s="39"/>
      <c r="E27" s="34" t="str">
        <f ca="1">IF(ISBLANK('Control Entry'!F35),"",'Control Entry'!F35)</f>
        <v/>
      </c>
      <c r="F27" s="106" t="str">
        <f ca="1">IF(ISBLANK('Control Entry'!I35),"",'Control Entry'!I35)</f>
        <v/>
      </c>
      <c r="G27" s="107"/>
      <c r="H27" s="29" t="s">
        <v>29</v>
      </c>
      <c r="K27" s="141" t="s">
        <v>56</v>
      </c>
      <c r="L27" s="129"/>
      <c r="M27" s="52" t="s">
        <v>57</v>
      </c>
      <c r="N27" s="129" t="s">
        <v>49</v>
      </c>
      <c r="O27" s="129"/>
      <c r="P27" s="129" t="s">
        <v>50</v>
      </c>
      <c r="Q27" s="129"/>
      <c r="R27" s="53" t="s">
        <v>51</v>
      </c>
      <c r="S27" s="130" t="s">
        <v>52</v>
      </c>
      <c r="T27" s="130"/>
      <c r="U27" s="130" t="s">
        <v>53</v>
      </c>
      <c r="V27" s="130"/>
    </row>
    <row r="28" spans="1:22" ht="36" customHeight="1">
      <c r="A28" s="40" t="str">
        <f ca="1">IF(ISBLANK('Control Entry'!D35),"",'Control Entry'!D35)</f>
        <v/>
      </c>
      <c r="B28" s="41" t="str">
        <f ca="1">'Control Entry'!N35</f>
        <v/>
      </c>
      <c r="C28" s="41" t="str">
        <f ca="1">'Control Entry'!O35</f>
        <v/>
      </c>
      <c r="D28" s="42" t="str">
        <f ca="1">IF(ISBLANK('Control Entry'!E35),"",'Control Entry'!E35)</f>
        <v/>
      </c>
      <c r="E28" s="34" t="str">
        <f ca="1">IF(ISBLANK('Control Entry'!G35),"",'Control Entry'!G35)</f>
        <v/>
      </c>
      <c r="F28" s="106" t="str">
        <f ca="1">IF(ISBLANK('Control Entry'!J35),"",'Control Entry'!J35)</f>
        <v/>
      </c>
      <c r="G28" s="107"/>
      <c r="H28" s="29" t="s">
        <v>29</v>
      </c>
    </row>
    <row r="29" spans="1:22" ht="36" customHeight="1" thickBot="1">
      <c r="A29" s="35"/>
      <c r="B29" s="36" t="str">
        <f ca="1">'Control Entry'!N35</f>
        <v/>
      </c>
      <c r="C29" s="36" t="str">
        <f ca="1">'Control Entry'!O35</f>
        <v/>
      </c>
      <c r="D29" s="37"/>
      <c r="E29" s="38" t="str">
        <f ca="1">IF(ISBLANK('Control Entry'!H35),"",'Control Entry'!H35)</f>
        <v/>
      </c>
      <c r="F29" s="111" t="str">
        <f ca="1">IF(ISBLANK('Control Entry'!K35),"",'Control Entry'!K35)</f>
        <v/>
      </c>
      <c r="G29" s="110"/>
      <c r="H29" s="29" t="s">
        <v>29</v>
      </c>
      <c r="M29" s="128" t="s">
        <v>42</v>
      </c>
      <c r="N29" s="128"/>
      <c r="O29" s="128"/>
      <c r="P29" s="128"/>
      <c r="Q29" s="128"/>
      <c r="R29" s="128"/>
      <c r="S29" s="128"/>
      <c r="T29" s="128"/>
      <c r="U29" s="57"/>
    </row>
    <row r="30" spans="1:22" ht="36" customHeight="1">
      <c r="A30" s="31"/>
      <c r="B30" s="32" t="str">
        <f ca="1">'Control Entry'!N36</f>
        <v/>
      </c>
      <c r="C30" s="32" t="str">
        <f ca="1">'Control Entry'!O36</f>
        <v/>
      </c>
      <c r="D30" s="39"/>
      <c r="E30" s="34" t="str">
        <f ca="1">IF(ISBLANK('Control Entry'!F36),"",'Control Entry'!F36)</f>
        <v/>
      </c>
      <c r="F30" s="106" t="str">
        <f ca="1">IF(ISBLANK('Control Entry'!I36),"",'Control Entry'!I36)</f>
        <v/>
      </c>
      <c r="G30" s="107"/>
      <c r="H30" s="29" t="s">
        <v>29</v>
      </c>
      <c r="M30" s="16"/>
      <c r="N30" s="21"/>
      <c r="O30" s="21"/>
      <c r="P30" s="22"/>
      <c r="Q30" s="21"/>
      <c r="R30" s="21"/>
      <c r="S30" s="21"/>
      <c r="T30" s="22"/>
      <c r="U30" s="23"/>
    </row>
    <row r="31" spans="1:22" ht="36" customHeight="1">
      <c r="A31" s="40" t="str">
        <f ca="1">IF(ISBLANK('Control Entry'!D36),"",'Control Entry'!D36)</f>
        <v/>
      </c>
      <c r="B31" s="41" t="str">
        <f ca="1">'Control Entry'!N36</f>
        <v/>
      </c>
      <c r="C31" s="41" t="str">
        <f ca="1">'Control Entry'!O36</f>
        <v/>
      </c>
      <c r="D31" s="42" t="str">
        <f ca="1">IF(ISBLANK('Control Entry'!E36),"",'Control Entry'!E36)</f>
        <v/>
      </c>
      <c r="E31" s="34" t="str">
        <f ca="1">IF(ISBLANK('Control Entry'!G36),"",'Control Entry'!G36)</f>
        <v/>
      </c>
      <c r="F31" s="106" t="str">
        <f ca="1">IF(ISBLANK('Control Entry'!J36),"",'Control Entry'!J36)</f>
        <v/>
      </c>
      <c r="G31" s="107"/>
      <c r="H31" s="29" t="s">
        <v>29</v>
      </c>
      <c r="M31" s="17"/>
      <c r="N31" s="23"/>
      <c r="O31" s="23"/>
      <c r="P31" s="24"/>
      <c r="Q31" s="23"/>
      <c r="R31" s="23"/>
      <c r="S31" s="23"/>
      <c r="T31" s="24"/>
      <c r="U31" s="23"/>
    </row>
    <row r="32" spans="1:22" ht="36" customHeight="1" thickBot="1">
      <c r="A32" s="35"/>
      <c r="B32" s="36" t="str">
        <f ca="1">'Control Entry'!N36</f>
        <v/>
      </c>
      <c r="C32" s="36" t="str">
        <f ca="1">'Control Entry'!O36</f>
        <v/>
      </c>
      <c r="D32" s="37"/>
      <c r="E32" s="38" t="str">
        <f ca="1">IF(ISBLANK('Control Entry'!H36),"",'Control Entry'!H36)</f>
        <v/>
      </c>
      <c r="F32" s="111" t="str">
        <f ca="1">IF(ISBLANK('Control Entry'!K36),"",'Control Entry'!K36)</f>
        <v/>
      </c>
      <c r="G32" s="110"/>
      <c r="H32" s="29" t="s">
        <v>29</v>
      </c>
      <c r="M32" s="55"/>
      <c r="N32" s="20"/>
      <c r="O32" s="20"/>
      <c r="P32" s="25"/>
      <c r="Q32" s="20"/>
      <c r="R32" s="20"/>
      <c r="S32" s="20"/>
      <c r="T32" s="25"/>
      <c r="U32" s="23"/>
    </row>
    <row r="33" spans="1:22" ht="36" customHeight="1">
      <c r="A33" s="147" t="s">
        <v>43</v>
      </c>
      <c r="B33" s="147"/>
      <c r="C33" s="147"/>
      <c r="D33" s="147"/>
      <c r="E33" s="147"/>
      <c r="F33" s="147"/>
      <c r="G33" s="147"/>
      <c r="H33" s="43"/>
      <c r="I33" s="43"/>
      <c r="M33" s="131" t="s">
        <v>82</v>
      </c>
      <c r="N33" s="132"/>
      <c r="O33" s="132"/>
      <c r="P33" s="132"/>
      <c r="Q33" s="133">
        <f ca="1">'Control Entry'!B3</f>
        <v>44674</v>
      </c>
      <c r="R33" s="134"/>
      <c r="S33" s="134"/>
      <c r="T33" s="134"/>
      <c r="U33" s="102"/>
      <c r="V33" s="51"/>
    </row>
    <row r="34" spans="1:22" ht="36" customHeight="1">
      <c r="A34"/>
      <c r="O34" s="49"/>
      <c r="P34" s="49"/>
      <c r="Q34" s="49"/>
      <c r="R34" s="48"/>
    </row>
    <row r="35" spans="1:22" ht="36" customHeight="1">
      <c r="A35"/>
      <c r="N35" s="128"/>
      <c r="O35" s="128"/>
      <c r="P35" s="128"/>
      <c r="Q35" s="128"/>
      <c r="R35" s="128"/>
      <c r="S35" s="128"/>
      <c r="T35" s="128"/>
      <c r="U35" s="128"/>
    </row>
    <row r="36" spans="1:22" ht="36" customHeight="1">
      <c r="A36"/>
      <c r="N36" s="30"/>
      <c r="O36" s="23"/>
      <c r="P36" s="23"/>
      <c r="Q36" s="23"/>
      <c r="R36" s="23"/>
      <c r="S36" s="23"/>
      <c r="T36" s="23"/>
      <c r="U36" s="23"/>
    </row>
    <row r="37" spans="1:22" ht="36" customHeight="1">
      <c r="A37"/>
      <c r="N37" s="30"/>
      <c r="O37" s="23"/>
      <c r="P37" s="23"/>
      <c r="Q37" s="23"/>
      <c r="R37" s="23"/>
      <c r="S37" s="23"/>
      <c r="T37" s="23"/>
      <c r="U37" s="23"/>
    </row>
    <row r="38" spans="1:22" ht="36" customHeight="1">
      <c r="A38"/>
      <c r="N38" s="58"/>
      <c r="O38" s="23"/>
      <c r="P38" s="23"/>
      <c r="Q38" s="23"/>
      <c r="R38" s="23"/>
      <c r="S38" s="23"/>
      <c r="T38" s="23"/>
      <c r="U38" s="23"/>
    </row>
    <row r="39" spans="1:22" ht="36" customHeight="1">
      <c r="A39"/>
    </row>
    <row r="40" spans="1:22" ht="36" customHeight="1">
      <c r="A40"/>
    </row>
  </sheetData>
  <sheetProtection sheet="1" objects="1" scenarios="1" formatCells="0" selectLockedCells="1"/>
  <mergeCells count="39">
    <mergeCell ref="S24:U24"/>
    <mergeCell ref="K27:L27"/>
    <mergeCell ref="L20:N20"/>
    <mergeCell ref="A1:G1"/>
    <mergeCell ref="K2:U2"/>
    <mergeCell ref="M4:T4"/>
    <mergeCell ref="N5:O5"/>
    <mergeCell ref="R5:U5"/>
    <mergeCell ref="O3:R3"/>
    <mergeCell ref="L6:U6"/>
    <mergeCell ref="T8:U8"/>
    <mergeCell ref="L9:U9"/>
    <mergeCell ref="L10:U10"/>
    <mergeCell ref="L8:Q8"/>
    <mergeCell ref="N27:O27"/>
    <mergeCell ref="P27:Q27"/>
    <mergeCell ref="S27:T27"/>
    <mergeCell ref="L12:N12"/>
    <mergeCell ref="S12:U12"/>
    <mergeCell ref="L11:N11"/>
    <mergeCell ref="S11:U11"/>
    <mergeCell ref="A33:G33"/>
    <mergeCell ref="N35:U35"/>
    <mergeCell ref="M29:T29"/>
    <mergeCell ref="L15:U15"/>
    <mergeCell ref="S20:U20"/>
    <mergeCell ref="J25:N25"/>
    <mergeCell ref="P25:Q25"/>
    <mergeCell ref="S25:T25"/>
    <mergeCell ref="M33:P33"/>
    <mergeCell ref="L13:N13"/>
    <mergeCell ref="R13:U13"/>
    <mergeCell ref="L16:U16"/>
    <mergeCell ref="L22:N22"/>
    <mergeCell ref="S22:U22"/>
    <mergeCell ref="U27:V27"/>
    <mergeCell ref="J24:N24"/>
    <mergeCell ref="U25:V25"/>
    <mergeCell ref="Q33:T33"/>
  </mergeCells>
  <phoneticPr fontId="12" type="noConversion"/>
  <printOptions horizontalCentered="1" verticalCentered="1"/>
  <pageMargins left="0.2" right="0.2" top="0.2" bottom="0.2" header="0.51" footer="0.51"/>
  <pageSetup scale="46" orientation="landscape" horizontalDpi="4294967292" verticalDpi="4294967292"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V40"/>
  <sheetViews>
    <sheetView showGridLines="0" topLeftCell="A2" zoomScale="92" zoomScaleNormal="92" zoomScalePageLayoutView="92" workbookViewId="0">
      <selection activeCell="F5" sqref="F5"/>
    </sheetView>
  </sheetViews>
  <sheetFormatPr defaultColWidth="8.85546875" defaultRowHeight="12.75"/>
  <cols>
    <col min="1" max="1" width="8.42578125" style="1" customWidth="1"/>
    <col min="2" max="2" width="11.42578125" customWidth="1"/>
    <col min="3" max="3" width="11.7109375" customWidth="1"/>
    <col min="4" max="4" width="18" customWidth="1"/>
    <col min="5" max="5" width="23.85546875" customWidth="1"/>
    <col min="6" max="6" width="42" customWidth="1"/>
    <col min="7" max="7" width="13.42578125" customWidth="1"/>
    <col min="8" max="8" width="8" style="30" customWidth="1"/>
    <col min="9" max="9" width="12" customWidth="1"/>
    <col min="18" max="19" width="8.85546875" customWidth="1"/>
  </cols>
  <sheetData>
    <row r="1" spans="1:22" ht="21" thickBot="1">
      <c r="A1" s="137" t="s">
        <v>74</v>
      </c>
      <c r="B1" s="137"/>
      <c r="C1" s="137"/>
      <c r="D1" s="137"/>
      <c r="E1" s="137"/>
      <c r="F1" s="137"/>
      <c r="G1" s="137"/>
      <c r="H1" s="29" t="s">
        <v>29</v>
      </c>
    </row>
    <row r="2" spans="1:22" ht="33.75" customHeight="1" thickBot="1">
      <c r="A2" s="76" t="s">
        <v>30</v>
      </c>
      <c r="B2" s="9" t="s">
        <v>3</v>
      </c>
      <c r="C2" s="9" t="s">
        <v>4</v>
      </c>
      <c r="D2" s="9" t="s">
        <v>25</v>
      </c>
      <c r="E2" s="9" t="s">
        <v>31</v>
      </c>
      <c r="F2" s="9" t="s">
        <v>59</v>
      </c>
      <c r="G2" s="76" t="s">
        <v>32</v>
      </c>
      <c r="H2" s="29" t="s">
        <v>29</v>
      </c>
      <c r="K2" s="135" t="s">
        <v>55</v>
      </c>
      <c r="L2" s="135"/>
      <c r="M2" s="135"/>
      <c r="N2" s="135"/>
      <c r="O2" s="135"/>
      <c r="P2" s="135"/>
      <c r="Q2" s="135"/>
      <c r="R2" s="135"/>
      <c r="S2" s="135"/>
      <c r="T2" s="135"/>
      <c r="U2" s="135"/>
    </row>
    <row r="3" spans="1:22" ht="36" customHeight="1">
      <c r="A3" s="31"/>
      <c r="B3" s="32" t="str">
        <f ca="1">'Control Entry'!N40</f>
        <v/>
      </c>
      <c r="C3" s="32" t="str">
        <f ca="1">'Control Entry'!O40</f>
        <v/>
      </c>
      <c r="D3" s="33"/>
      <c r="E3" s="34" t="str">
        <f ca="1">IF(ISBLANK('Control Entry'!F40),"",'Control Entry'!F40)</f>
        <v/>
      </c>
      <c r="F3" s="106" t="str">
        <f ca="1">IF(ISBLANK('Control Entry'!I40),"",'Control Entry'!I40)</f>
        <v/>
      </c>
      <c r="G3" s="107"/>
      <c r="H3" s="29" t="s">
        <v>29</v>
      </c>
      <c r="K3" s="14"/>
      <c r="O3" s="138" t="s">
        <v>73</v>
      </c>
      <c r="P3" s="138"/>
      <c r="Q3" s="138"/>
      <c r="R3" s="138"/>
      <c r="S3" s="92" t="str">
        <f ca="1">IF('Control Entry'!D40=0,"","#3")</f>
        <v/>
      </c>
      <c r="T3" s="93"/>
      <c r="U3" s="44"/>
    </row>
    <row r="4" spans="1:22" ht="36" customHeight="1">
      <c r="A4" s="40" t="str">
        <f ca="1">IF(ISBLANK('Control Entry'!D40),"",'Control Entry'!D40)</f>
        <v/>
      </c>
      <c r="B4" s="41" t="str">
        <f ca="1">'Control Entry'!N40</f>
        <v/>
      </c>
      <c r="C4" s="41" t="str">
        <f ca="1">'Control Entry'!O40</f>
        <v/>
      </c>
      <c r="D4" s="42" t="str">
        <f ca="1">IF(ISBLANK('Control Entry'!E40),"",'Control Entry'!E40)</f>
        <v/>
      </c>
      <c r="E4" s="34" t="str">
        <f ca="1">IF(ISBLANK('Control Entry'!G40),"",'Control Entry'!G40)</f>
        <v/>
      </c>
      <c r="F4" s="106" t="str">
        <f ca="1">IF(ISBLANK('Control Entry'!J40),"",'Control Entry'!J40)</f>
        <v/>
      </c>
      <c r="G4" s="107"/>
      <c r="H4" s="29" t="s">
        <v>29</v>
      </c>
      <c r="K4" s="14"/>
      <c r="M4" s="141" t="str">
        <f ca="1">IF(ISBLANK(brevet),"",brevet&amp;" km Randonnée")</f>
        <v>200 km Randonnée</v>
      </c>
      <c r="N4" s="141"/>
      <c r="O4" s="141"/>
      <c r="P4" s="141"/>
      <c r="Q4" s="141"/>
      <c r="R4" s="141"/>
      <c r="S4" s="141"/>
      <c r="T4" s="141"/>
      <c r="U4" s="45"/>
    </row>
    <row r="5" spans="1:22" ht="36" customHeight="1" thickBot="1">
      <c r="A5" s="35"/>
      <c r="B5" s="36" t="str">
        <f ca="1">'Control Entry'!N40</f>
        <v/>
      </c>
      <c r="C5" s="36" t="str">
        <f ca="1">'Control Entry'!O40</f>
        <v/>
      </c>
      <c r="D5" s="37"/>
      <c r="E5" s="38" t="str">
        <f ca="1">IF(ISBLANK('Control Entry'!H27),"",'Control Entry'!H27)</f>
        <v/>
      </c>
      <c r="F5" s="111" t="str">
        <f ca="1">IF(ISBLANK('Control Entry'!K40),"",'Control Entry'!K40)</f>
        <v/>
      </c>
      <c r="G5" s="110"/>
      <c r="H5" s="29" t="s">
        <v>29</v>
      </c>
      <c r="K5" s="14"/>
      <c r="M5" s="15"/>
      <c r="N5" s="140" t="s">
        <v>47</v>
      </c>
      <c r="O5" s="140"/>
      <c r="P5" s="63">
        <f ca="1">IF(ISBLANK(Brevet_Number),"",Brevet_Number)</f>
        <v>5249</v>
      </c>
      <c r="Q5" s="64"/>
      <c r="R5" s="150">
        <f ca="1">IF(ISBLANK('Control Entry'!$B9),"",'Control Entry'!$B9)</f>
        <v>45115</v>
      </c>
      <c r="S5" s="150"/>
      <c r="T5" s="150"/>
      <c r="U5" s="150"/>
      <c r="V5" s="46"/>
    </row>
    <row r="6" spans="1:22" ht="36" customHeight="1">
      <c r="A6" s="31"/>
      <c r="B6" s="32" t="str">
        <f ca="1">'Control Entry'!N41</f>
        <v/>
      </c>
      <c r="C6" s="32" t="str">
        <f ca="1">'Control Entry'!O41</f>
        <v/>
      </c>
      <c r="D6" s="39"/>
      <c r="E6" s="34" t="str">
        <f ca="1">IF(ISBLANK('Control Entry'!F41),"",'Control Entry'!F41)</f>
        <v/>
      </c>
      <c r="F6" s="106" t="str">
        <f ca="1">IF(ISBLANK('Control Entry'!I41),"",'Control Entry'!I41)</f>
        <v/>
      </c>
      <c r="G6" s="107"/>
      <c r="H6" s="29" t="s">
        <v>29</v>
      </c>
      <c r="K6" s="14"/>
      <c r="L6" s="139" t="str">
        <f ca="1">IF(ISBLANK(Brevet_Description),"",Brevet_Description)</f>
        <v>Summit Finish 200 III</v>
      </c>
      <c r="M6" s="139"/>
      <c r="N6" s="139"/>
      <c r="O6" s="139"/>
      <c r="P6" s="139"/>
      <c r="Q6" s="139"/>
      <c r="R6" s="139"/>
      <c r="S6" s="139"/>
      <c r="T6" s="139"/>
      <c r="U6" s="139"/>
    </row>
    <row r="7" spans="1:22" ht="36" customHeight="1">
      <c r="A7" s="40" t="str">
        <f ca="1">IF(ISBLANK('Control Entry'!D41),"",'Control Entry'!D41)</f>
        <v/>
      </c>
      <c r="B7" s="41" t="str">
        <f ca="1">'Control Entry'!N41</f>
        <v/>
      </c>
      <c r="C7" s="41" t="str">
        <f ca="1">'Control Entry'!O41</f>
        <v/>
      </c>
      <c r="D7" s="42" t="str">
        <f ca="1">IF(ISBLANK('Control Entry'!E41),"",'Control Entry'!E41)</f>
        <v/>
      </c>
      <c r="E7" s="34" t="str">
        <f ca="1">IF(ISBLANK('Control Entry'!G41),"",'Control Entry'!G41)</f>
        <v/>
      </c>
      <c r="F7" s="106" t="str">
        <f ca="1">IF(ISBLANK('Control Entry'!J41),"",'Control Entry'!J41)</f>
        <v/>
      </c>
      <c r="G7" s="107"/>
      <c r="H7" s="29" t="s">
        <v>29</v>
      </c>
    </row>
    <row r="8" spans="1:22" ht="36" customHeight="1" thickBot="1">
      <c r="A8" s="35"/>
      <c r="B8" s="36" t="str">
        <f ca="1">'Control Entry'!N41</f>
        <v/>
      </c>
      <c r="C8" s="36" t="str">
        <f ca="1">'Control Entry'!O41</f>
        <v/>
      </c>
      <c r="D8" s="37"/>
      <c r="E8" s="38" t="str">
        <f ca="1">IF(ISBLANK('Control Entry'!H41),"",'Control Entry'!H41)</f>
        <v/>
      </c>
      <c r="F8" s="111" t="str">
        <f ca="1">IF(ISBLANK('Control Entry'!K41),"",'Control Entry'!K41)</f>
        <v/>
      </c>
      <c r="G8" s="110"/>
      <c r="H8" s="29" t="s">
        <v>29</v>
      </c>
      <c r="J8" s="15" t="s">
        <v>34</v>
      </c>
      <c r="L8" s="136"/>
      <c r="M8" s="136"/>
      <c r="N8" s="136"/>
      <c r="O8" s="136"/>
      <c r="P8" s="136"/>
      <c r="Q8" s="136"/>
      <c r="R8" s="30"/>
      <c r="S8" s="47" t="s">
        <v>46</v>
      </c>
      <c r="T8" s="127"/>
      <c r="U8" s="127"/>
    </row>
    <row r="9" spans="1:22" ht="36" customHeight="1" thickBot="1">
      <c r="A9" s="31"/>
      <c r="B9" s="32" t="str">
        <f ca="1">'Control Entry'!N42</f>
        <v/>
      </c>
      <c r="C9" s="32" t="str">
        <f ca="1">'Control Entry'!O42</f>
        <v/>
      </c>
      <c r="D9" s="39"/>
      <c r="E9" s="34" t="str">
        <f ca="1">IF(ISBLANK('Control Entry'!F42),"",'Control Entry'!F42)</f>
        <v/>
      </c>
      <c r="F9" s="106" t="str">
        <f ca="1">IF(ISBLANK('Control Entry'!I42),"",'Control Entry'!I42)</f>
        <v/>
      </c>
      <c r="G9" s="107"/>
      <c r="H9" s="29" t="s">
        <v>29</v>
      </c>
      <c r="J9" s="15" t="s">
        <v>35</v>
      </c>
      <c r="K9" s="15"/>
      <c r="L9" s="145" t="s">
        <v>54</v>
      </c>
      <c r="M9" s="145"/>
      <c r="N9" s="145"/>
      <c r="O9" s="145"/>
      <c r="P9" s="145"/>
      <c r="Q9" s="145"/>
      <c r="R9" s="145"/>
      <c r="S9" s="145"/>
      <c r="T9" s="145"/>
      <c r="U9" s="145"/>
    </row>
    <row r="10" spans="1:22" ht="36" customHeight="1" thickBot="1">
      <c r="A10" s="40" t="str">
        <f ca="1">IF(ISBLANK('Control Entry'!D42),"",'Control Entry'!D42)</f>
        <v/>
      </c>
      <c r="B10" s="41" t="str">
        <f ca="1">'Control Entry'!N42</f>
        <v/>
      </c>
      <c r="C10" s="41" t="str">
        <f ca="1">'Control Entry'!O42</f>
        <v/>
      </c>
      <c r="D10" s="42" t="str">
        <f ca="1">IF(ISBLANK('Control Entry'!E42),"",'Control Entry'!E42)</f>
        <v/>
      </c>
      <c r="E10" s="34" t="str">
        <f ca="1">IF(ISBLANK('Control Entry'!G42),"",'Control Entry'!G42)</f>
        <v/>
      </c>
      <c r="F10" s="106" t="str">
        <f ca="1">IF(ISBLANK('Control Entry'!J42),"",'Control Entry'!J42)</f>
        <v/>
      </c>
      <c r="G10" s="107"/>
      <c r="H10" s="29" t="s">
        <v>29</v>
      </c>
      <c r="J10" s="15"/>
      <c r="K10" s="15"/>
      <c r="L10" s="123"/>
      <c r="M10" s="123"/>
      <c r="N10" s="123"/>
      <c r="O10" s="123"/>
      <c r="P10" s="123"/>
      <c r="Q10" s="123"/>
      <c r="R10" s="123"/>
      <c r="S10" s="123"/>
      <c r="T10" s="123"/>
      <c r="U10" s="123"/>
    </row>
    <row r="11" spans="1:22" ht="36" customHeight="1" thickBot="1">
      <c r="A11" s="35"/>
      <c r="B11" s="36" t="str">
        <f ca="1">'Control Entry'!N42</f>
        <v/>
      </c>
      <c r="C11" s="36" t="str">
        <f ca="1">'Control Entry'!O42</f>
        <v/>
      </c>
      <c r="D11" s="37"/>
      <c r="E11" s="38" t="str">
        <f ca="1">IF(ISBLANK('Control Entry'!H42),"",'Control Entry'!H42)</f>
        <v/>
      </c>
      <c r="F11" s="111" t="str">
        <f ca="1">IF(ISBLANK('Control Entry'!K42),"",'Control Entry'!K42)</f>
        <v/>
      </c>
      <c r="G11" s="110"/>
      <c r="H11" s="29" t="s">
        <v>29</v>
      </c>
      <c r="J11" s="15" t="s">
        <v>36</v>
      </c>
      <c r="K11" s="15"/>
      <c r="L11" s="123"/>
      <c r="M11" s="123"/>
      <c r="N11" s="123"/>
      <c r="O11" s="18"/>
      <c r="P11" s="18" t="s">
        <v>37</v>
      </c>
      <c r="Q11" s="18"/>
      <c r="R11" s="18"/>
      <c r="S11" s="124"/>
      <c r="T11" s="124"/>
      <c r="U11" s="124"/>
    </row>
    <row r="12" spans="1:22" ht="36" customHeight="1" thickBot="1">
      <c r="A12" s="31"/>
      <c r="B12" s="32" t="str">
        <f ca="1">'Control Entry'!N43</f>
        <v/>
      </c>
      <c r="C12" s="32" t="str">
        <f ca="1">'Control Entry'!O43</f>
        <v/>
      </c>
      <c r="D12" s="39"/>
      <c r="E12" s="34" t="str">
        <f ca="1">IF(ISBLANK('Control Entry'!F43),"",'Control Entry'!F43)</f>
        <v/>
      </c>
      <c r="F12" s="106" t="str">
        <f ca="1">IF(ISBLANK('Control Entry'!I43),"",'Control Entry'!I43)</f>
        <v/>
      </c>
      <c r="G12" s="107"/>
      <c r="H12" s="29" t="s">
        <v>29</v>
      </c>
      <c r="J12" s="15" t="s">
        <v>38</v>
      </c>
      <c r="K12" s="15"/>
      <c r="L12" s="123"/>
      <c r="M12" s="123"/>
      <c r="N12" s="123"/>
      <c r="O12" s="18"/>
      <c r="P12" s="18" t="s">
        <v>39</v>
      </c>
      <c r="Q12" s="18"/>
      <c r="R12" s="18"/>
      <c r="S12" s="124"/>
      <c r="T12" s="124"/>
      <c r="U12" s="124"/>
    </row>
    <row r="13" spans="1:22" ht="36" customHeight="1" thickBot="1">
      <c r="A13" s="40" t="str">
        <f ca="1">IF(ISBLANK('Control Entry'!D43),"",'Control Entry'!D43)</f>
        <v/>
      </c>
      <c r="B13" s="41" t="str">
        <f ca="1">'Control Entry'!N43</f>
        <v/>
      </c>
      <c r="C13" s="41" t="str">
        <f ca="1">'Control Entry'!O43</f>
        <v/>
      </c>
      <c r="D13" s="42" t="str">
        <f ca="1">IF(ISBLANK('Control Entry'!E43),"",'Control Entry'!E43)</f>
        <v/>
      </c>
      <c r="E13" s="34" t="str">
        <f ca="1">IF(ISBLANK('Control Entry'!G43),"",'Control Entry'!G43)</f>
        <v/>
      </c>
      <c r="F13" s="106" t="str">
        <f ca="1">IF(ISBLANK('Control Entry'!J43),"",'Control Entry'!J43)</f>
        <v/>
      </c>
      <c r="G13" s="107"/>
      <c r="H13" s="29" t="s">
        <v>29</v>
      </c>
      <c r="J13" s="15" t="s">
        <v>40</v>
      </c>
      <c r="L13" s="151"/>
      <c r="M13" s="151"/>
      <c r="N13" s="151"/>
      <c r="O13" s="19"/>
      <c r="P13" s="18" t="s">
        <v>41</v>
      </c>
      <c r="Q13" s="18"/>
      <c r="R13" s="126"/>
      <c r="S13" s="126"/>
      <c r="T13" s="126"/>
      <c r="U13" s="126"/>
    </row>
    <row r="14" spans="1:22" ht="36" customHeight="1" thickBot="1">
      <c r="A14" s="35"/>
      <c r="B14" s="36" t="str">
        <f ca="1">'Control Entry'!N43</f>
        <v/>
      </c>
      <c r="C14" s="36" t="str">
        <f ca="1">'Control Entry'!O43</f>
        <v/>
      </c>
      <c r="D14" s="37"/>
      <c r="E14" s="38" t="str">
        <f ca="1">IF(ISBLANK('Control Entry'!H43),"",'Control Entry'!H43)</f>
        <v/>
      </c>
      <c r="F14" s="111" t="str">
        <f ca="1">IF(ISBLANK('Control Entry'!K43),"",'Control Entry'!K43)</f>
        <v/>
      </c>
      <c r="G14" s="110"/>
      <c r="H14" s="29" t="s">
        <v>29</v>
      </c>
    </row>
    <row r="15" spans="1:22" ht="36" customHeight="1">
      <c r="A15" s="31"/>
      <c r="B15" s="32" t="str">
        <f ca="1">'Control Entry'!N44</f>
        <v/>
      </c>
      <c r="C15" s="32" t="str">
        <f ca="1">'Control Entry'!O44</f>
        <v/>
      </c>
      <c r="D15" s="39"/>
      <c r="E15" s="34" t="str">
        <f ca="1">IF(ISBLANK('Control Entry'!F44),"",'Control Entry'!F44)</f>
        <v/>
      </c>
      <c r="F15" s="106" t="str">
        <f ca="1">IF(ISBLANK('Control Entry'!I44),"",'Control Entry'!I44)</f>
        <v/>
      </c>
      <c r="G15" s="107"/>
      <c r="H15" s="29" t="s">
        <v>29</v>
      </c>
      <c r="J15" s="15"/>
      <c r="L15" s="144" t="s">
        <v>58</v>
      </c>
      <c r="M15" s="144"/>
      <c r="N15" s="144"/>
      <c r="O15" s="144"/>
      <c r="P15" s="144"/>
      <c r="Q15" s="144"/>
      <c r="R15" s="144"/>
      <c r="S15" s="144"/>
      <c r="T15" s="144"/>
      <c r="U15" s="144"/>
    </row>
    <row r="16" spans="1:22" ht="36" customHeight="1" thickBot="1">
      <c r="A16" s="40" t="str">
        <f ca="1">IF(ISBLANK('Control Entry'!D44),"",'Control Entry'!D44)</f>
        <v/>
      </c>
      <c r="B16" s="41" t="str">
        <f ca="1">'Control Entry'!N44</f>
        <v/>
      </c>
      <c r="C16" s="41" t="str">
        <f ca="1">'Control Entry'!O44</f>
        <v/>
      </c>
      <c r="D16" s="42" t="str">
        <f ca="1">IF(ISBLANK('Control Entry'!E44),"",'Control Entry'!E44)</f>
        <v/>
      </c>
      <c r="E16" s="34" t="str">
        <f ca="1">IF(ISBLANK('Control Entry'!G44),"",'Control Entry'!G44)</f>
        <v/>
      </c>
      <c r="F16" s="106" t="str">
        <f ca="1">IF(ISBLANK('Control Entry'!J44),"",'Control Entry'!J44)</f>
        <v/>
      </c>
      <c r="G16" s="107"/>
      <c r="H16" s="29" t="s">
        <v>29</v>
      </c>
      <c r="L16" s="153"/>
      <c r="M16" s="153"/>
      <c r="N16" s="153"/>
      <c r="O16" s="153"/>
      <c r="P16" s="153"/>
      <c r="Q16" s="153"/>
      <c r="R16" s="153"/>
      <c r="S16" s="153"/>
      <c r="T16" s="153"/>
      <c r="U16" s="153"/>
    </row>
    <row r="17" spans="1:22" ht="36" customHeight="1" thickBot="1">
      <c r="A17" s="35"/>
      <c r="B17" s="36" t="str">
        <f ca="1">'Control Entry'!N44</f>
        <v/>
      </c>
      <c r="C17" s="36" t="str">
        <f ca="1">'Control Entry'!O44</f>
        <v/>
      </c>
      <c r="D17" s="37"/>
      <c r="E17" s="38" t="str">
        <f ca="1">IF(ISBLANK('Control Entry'!H44),"",'Control Entry'!H44)</f>
        <v/>
      </c>
      <c r="F17" s="111" t="str">
        <f ca="1">IF(ISBLANK('Control Entry'!K44),"",'Control Entry'!K44)</f>
        <v/>
      </c>
      <c r="G17" s="110"/>
      <c r="H17" s="29" t="s">
        <v>29</v>
      </c>
    </row>
    <row r="18" spans="1:22" ht="36" customHeight="1">
      <c r="A18" s="31"/>
      <c r="B18" s="32" t="str">
        <f ca="1">'Control Entry'!N45</f>
        <v/>
      </c>
      <c r="C18" s="32" t="str">
        <f ca="1">'Control Entry'!O45</f>
        <v/>
      </c>
      <c r="D18" s="39"/>
      <c r="E18" s="34" t="str">
        <f ca="1">IF(ISBLANK('Control Entry'!F45),"",'Control Entry'!F45)</f>
        <v/>
      </c>
      <c r="F18" s="106" t="str">
        <f ca="1">IF(ISBLANK('Control Entry'!I45),"",'Control Entry'!I45)</f>
        <v/>
      </c>
      <c r="G18" s="107"/>
      <c r="H18" s="29" t="s">
        <v>29</v>
      </c>
    </row>
    <row r="19" spans="1:22" ht="36" customHeight="1">
      <c r="A19" s="40" t="str">
        <f ca="1">IF(ISBLANK('Control Entry'!D45),"",'Control Entry'!D45)</f>
        <v/>
      </c>
      <c r="B19" s="41" t="str">
        <f ca="1">'Control Entry'!N45</f>
        <v/>
      </c>
      <c r="C19" s="41" t="str">
        <f ca="1">'Control Entry'!O45</f>
        <v/>
      </c>
      <c r="D19" s="42" t="str">
        <f ca="1">IF(ISBLANK('Control Entry'!E45),"",'Control Entry'!E45)</f>
        <v/>
      </c>
      <c r="E19" s="34" t="str">
        <f ca="1">IF(ISBLANK('Control Entry'!G45),"",'Control Entry'!G45)</f>
        <v/>
      </c>
      <c r="F19" s="106" t="str">
        <f ca="1">IF(ISBLANK('Control Entry'!J45),"",'Control Entry'!J415)</f>
        <v/>
      </c>
      <c r="G19" s="107"/>
      <c r="H19" s="29" t="s">
        <v>29</v>
      </c>
    </row>
    <row r="20" spans="1:22" ht="36" customHeight="1" thickBot="1">
      <c r="A20" s="35"/>
      <c r="B20" s="36" t="str">
        <f ca="1">'Control Entry'!N45</f>
        <v/>
      </c>
      <c r="C20" s="36" t="str">
        <f ca="1">'Control Entry'!O45</f>
        <v/>
      </c>
      <c r="D20" s="37"/>
      <c r="E20" s="38" t="str">
        <f ca="1">IF(ISBLANK('Control Entry'!H45),"",'Control Entry'!H45)</f>
        <v/>
      </c>
      <c r="F20" s="111" t="str">
        <f ca="1">IF(ISBLANK('Control Entry'!K45),"",'Control Entry'!K45)</f>
        <v/>
      </c>
      <c r="G20" s="110"/>
      <c r="H20" s="29" t="s">
        <v>29</v>
      </c>
      <c r="J20" s="61" t="s">
        <v>44</v>
      </c>
      <c r="K20" s="61"/>
      <c r="L20" s="146">
        <f ca="1">IF(ISBLANK('Control Entry'!B11),"",'Control Entry'!B11)</f>
        <v>45115</v>
      </c>
      <c r="M20" s="146"/>
      <c r="N20" s="146"/>
      <c r="P20" s="18" t="s">
        <v>0</v>
      </c>
      <c r="Q20" s="18"/>
      <c r="S20" s="143">
        <f ca="1">IF(ISBLANK('Control Entry'!B12),"",'Control Entry'!B12)</f>
        <v>0.29166666666666669</v>
      </c>
      <c r="T20" s="143"/>
      <c r="U20" s="143"/>
    </row>
    <row r="21" spans="1:22" ht="36" customHeight="1">
      <c r="A21" s="31"/>
      <c r="B21" s="32" t="str">
        <f ca="1">'Control Entry'!N46</f>
        <v/>
      </c>
      <c r="C21" s="32" t="str">
        <f ca="1">'Control Entry'!O46</f>
        <v/>
      </c>
      <c r="D21" s="39"/>
      <c r="E21" s="34" t="str">
        <f ca="1">IF(ISBLANK('Control Entry'!F46),"",'Control Entry'!F46)</f>
        <v/>
      </c>
      <c r="F21" s="106" t="str">
        <f ca="1">IF(ISBLANK('Control Entry'!I46),"",'Control Entry'!I46)</f>
        <v/>
      </c>
      <c r="G21" s="107"/>
      <c r="H21" s="29" t="s">
        <v>29</v>
      </c>
      <c r="J21" s="61"/>
      <c r="K21" s="61"/>
      <c r="L21" s="51"/>
      <c r="M21" s="51"/>
      <c r="N21" s="51"/>
      <c r="P21" s="18"/>
      <c r="Q21" s="18"/>
      <c r="R21" s="23"/>
      <c r="S21" s="62"/>
      <c r="T21" s="62"/>
      <c r="U21" s="62"/>
      <c r="V21" s="30"/>
    </row>
    <row r="22" spans="1:22" ht="36" customHeight="1" thickBot="1">
      <c r="A22" s="40" t="str">
        <f ca="1">IF(ISBLANK('Control Entry'!D46),"",'Control Entry'!D46)</f>
        <v/>
      </c>
      <c r="B22" s="41" t="str">
        <f ca="1">'Control Entry'!N46</f>
        <v/>
      </c>
      <c r="C22" s="41" t="str">
        <f ca="1">'Control Entry'!O46</f>
        <v/>
      </c>
      <c r="D22" s="42" t="str">
        <f ca="1">IF(ISBLANK('Control Entry'!E46),"",'Control Entry'!E46)</f>
        <v/>
      </c>
      <c r="E22" s="34" t="str">
        <f ca="1">IF(ISBLANK('Control Entry'!G46),"",'Control Entry'!G46)</f>
        <v/>
      </c>
      <c r="F22" s="106" t="str">
        <f ca="1">IF(ISBLANK('Control Entry'!J46),"",'Control Entry'!J46)</f>
        <v/>
      </c>
      <c r="G22" s="107"/>
      <c r="H22" s="29" t="s">
        <v>29</v>
      </c>
      <c r="J22" s="60" t="s">
        <v>45</v>
      </c>
      <c r="K22" s="60"/>
      <c r="L22" s="112"/>
      <c r="M22" s="112"/>
      <c r="N22" s="112"/>
      <c r="O22" s="19"/>
      <c r="P22" s="18" t="s">
        <v>1</v>
      </c>
      <c r="Q22" s="18"/>
      <c r="R22" s="19"/>
      <c r="S22" s="125"/>
      <c r="T22" s="125"/>
      <c r="U22" s="125"/>
    </row>
    <row r="23" spans="1:22" ht="36" customHeight="1" thickBot="1">
      <c r="A23" s="35"/>
      <c r="B23" s="36" t="str">
        <f ca="1">'Control Entry'!N46</f>
        <v/>
      </c>
      <c r="C23" s="36" t="str">
        <f ca="1">'Control Entry'!O46</f>
        <v/>
      </c>
      <c r="D23" s="37"/>
      <c r="E23" s="38" t="str">
        <f ca="1">IF(ISBLANK('Control Entry'!H46),"",'Control Entry'!H46)</f>
        <v/>
      </c>
      <c r="F23" s="111" t="str">
        <f ca="1">IF(ISBLANK('Control Entry'!K46),"",'Control Entry'!K46)</f>
        <v/>
      </c>
      <c r="G23" s="110"/>
      <c r="H23" s="29" t="s">
        <v>29</v>
      </c>
      <c r="J23" s="60"/>
      <c r="K23" s="60"/>
      <c r="L23" s="51"/>
      <c r="M23" s="51"/>
      <c r="N23" s="51"/>
      <c r="O23" s="23"/>
      <c r="P23" s="59"/>
      <c r="Q23" s="59"/>
      <c r="R23" s="23"/>
      <c r="S23" s="23"/>
      <c r="T23" s="23"/>
      <c r="U23" s="23"/>
      <c r="V23" s="30"/>
    </row>
    <row r="24" spans="1:22" ht="36" customHeight="1" thickBot="1">
      <c r="A24" s="31"/>
      <c r="B24" s="32" t="str">
        <f ca="1">'Control Entry'!N47</f>
        <v/>
      </c>
      <c r="C24" s="32" t="str">
        <f ca="1">'Control Entry'!O47</f>
        <v/>
      </c>
      <c r="D24" s="39"/>
      <c r="E24" s="34" t="str">
        <f ca="1">IF(ISBLANK('Control Entry'!F47),"",'Control Entry'!F47)</f>
        <v/>
      </c>
      <c r="F24" s="106" t="str">
        <f ca="1">IF(ISBLANK('Control Entry'!I34),"",'Control Entry'!I34)</f>
        <v/>
      </c>
      <c r="G24" s="107"/>
      <c r="H24" s="29" t="s">
        <v>29</v>
      </c>
      <c r="J24" s="125"/>
      <c r="K24" s="125"/>
      <c r="L24" s="125"/>
      <c r="M24" s="125"/>
      <c r="N24" s="125"/>
      <c r="O24" s="19"/>
      <c r="P24" s="18" t="s">
        <v>2</v>
      </c>
      <c r="Q24" s="18"/>
      <c r="R24" s="19"/>
      <c r="S24" s="125"/>
      <c r="T24" s="125"/>
      <c r="U24" s="125"/>
    </row>
    <row r="25" spans="1:22" ht="36" customHeight="1">
      <c r="A25" s="40" t="str">
        <f ca="1">IF(ISBLANK('Control Entry'!D47),"",'Control Entry'!D47)</f>
        <v/>
      </c>
      <c r="B25" s="41" t="str">
        <f ca="1">'Control Entry'!N47</f>
        <v/>
      </c>
      <c r="C25" s="41" t="str">
        <f ca="1">'Control Entry'!O47</f>
        <v/>
      </c>
      <c r="D25" s="42" t="str">
        <f ca="1">IF(ISBLANK('Control Entry'!E47),"",'Control Entry'!E47)</f>
        <v/>
      </c>
      <c r="E25" s="34" t="str">
        <f ca="1">IF(ISBLANK('Control Entry'!G47),"",'Control Entry'!G47)</f>
        <v/>
      </c>
      <c r="F25" s="106" t="str">
        <f ca="1">IF(ISBLANK('Control Entry'!J34),"",'Control Entry'!J34)</f>
        <v/>
      </c>
      <c r="G25" s="107"/>
      <c r="H25" s="29" t="s">
        <v>29</v>
      </c>
      <c r="J25" s="142" t="s">
        <v>17</v>
      </c>
      <c r="K25" s="142"/>
      <c r="L25" s="142"/>
      <c r="M25" s="142"/>
      <c r="N25" s="142"/>
      <c r="O25" s="53"/>
      <c r="P25" s="129"/>
      <c r="Q25" s="129"/>
      <c r="R25" s="53"/>
      <c r="S25" s="130"/>
      <c r="T25" s="130"/>
      <c r="U25" s="130"/>
      <c r="V25" s="130"/>
    </row>
    <row r="26" spans="1:22" ht="36" customHeight="1" thickBot="1">
      <c r="A26" s="35"/>
      <c r="B26" s="36" t="str">
        <f ca="1">'Control Entry'!N47</f>
        <v/>
      </c>
      <c r="C26" s="36" t="str">
        <f ca="1">'Control Entry'!O47</f>
        <v/>
      </c>
      <c r="D26" s="37"/>
      <c r="E26" s="38" t="str">
        <f ca="1">IF(ISBLANK('Control Entry'!H47),"",'Control Entry'!H47)</f>
        <v/>
      </c>
      <c r="F26" s="111" t="str">
        <f ca="1">IF(ISBLANK('Control Entry'!K34),"",'Control Entry'!K34)</f>
        <v/>
      </c>
      <c r="G26" s="110"/>
      <c r="H26" s="29" t="s">
        <v>29</v>
      </c>
    </row>
    <row r="27" spans="1:22" ht="36" customHeight="1">
      <c r="A27" s="31"/>
      <c r="B27" s="32" t="str">
        <f ca="1">'Control Entry'!N48</f>
        <v/>
      </c>
      <c r="C27" s="32" t="str">
        <f ca="1">'Control Entry'!O48</f>
        <v/>
      </c>
      <c r="D27" s="39"/>
      <c r="E27" s="34" t="str">
        <f ca="1">IF(ISBLANK('Control Entry'!F48),"",'Control Entry'!F48)</f>
        <v/>
      </c>
      <c r="F27" s="106" t="str">
        <f ca="1">IF(ISBLANK('Control Entry'!I48),"",'Control Entry'!I48)</f>
        <v/>
      </c>
      <c r="G27" s="107"/>
      <c r="H27" s="29" t="s">
        <v>29</v>
      </c>
      <c r="K27" s="141" t="s">
        <v>56</v>
      </c>
      <c r="L27" s="129"/>
      <c r="M27" s="52" t="s">
        <v>57</v>
      </c>
      <c r="N27" s="129" t="s">
        <v>49</v>
      </c>
      <c r="O27" s="129"/>
      <c r="P27" s="129" t="s">
        <v>50</v>
      </c>
      <c r="Q27" s="129"/>
      <c r="R27" s="53" t="s">
        <v>51</v>
      </c>
      <c r="S27" s="130" t="s">
        <v>52</v>
      </c>
      <c r="T27" s="130"/>
      <c r="U27" s="130" t="s">
        <v>53</v>
      </c>
      <c r="V27" s="130"/>
    </row>
    <row r="28" spans="1:22" ht="36" customHeight="1">
      <c r="A28" s="40" t="str">
        <f ca="1">IF(ISBLANK('Control Entry'!D48),"",'Control Entry'!D48)</f>
        <v/>
      </c>
      <c r="B28" s="41" t="str">
        <f ca="1">'Control Entry'!N48</f>
        <v/>
      </c>
      <c r="C28" s="41" t="str">
        <f ca="1">'Control Entry'!O48</f>
        <v/>
      </c>
      <c r="D28" s="42" t="str">
        <f ca="1">IF(ISBLANK('Control Entry'!E48),"",'Control Entry'!E48)</f>
        <v/>
      </c>
      <c r="E28" s="34" t="str">
        <f ca="1">IF(ISBLANK('Control Entry'!G48),"",'Control Entry'!G48)</f>
        <v/>
      </c>
      <c r="F28" s="106" t="str">
        <f ca="1">IF(ISBLANK('Control Entry'!J48),"",'Control Entry'!J48)</f>
        <v/>
      </c>
      <c r="G28" s="107"/>
      <c r="H28" s="29" t="s">
        <v>29</v>
      </c>
    </row>
    <row r="29" spans="1:22" ht="36" customHeight="1" thickBot="1">
      <c r="A29" s="35"/>
      <c r="B29" s="36" t="str">
        <f ca="1">'Control Entry'!N48</f>
        <v/>
      </c>
      <c r="C29" s="36" t="str">
        <f ca="1">'Control Entry'!O48</f>
        <v/>
      </c>
      <c r="D29" s="37"/>
      <c r="E29" s="38" t="str">
        <f ca="1">IF(ISBLANK('Control Entry'!H48),"",'Control Entry'!H48)</f>
        <v/>
      </c>
      <c r="F29" s="111" t="str">
        <f ca="1">IF(ISBLANK('Control Entry'!K48),"",'Control Entry'!K48)</f>
        <v/>
      </c>
      <c r="G29" s="110"/>
      <c r="H29" s="29" t="s">
        <v>29</v>
      </c>
      <c r="M29" s="128" t="s">
        <v>42</v>
      </c>
      <c r="N29" s="128"/>
      <c r="O29" s="128"/>
      <c r="P29" s="128"/>
      <c r="Q29" s="128"/>
      <c r="R29" s="128"/>
      <c r="S29" s="128"/>
      <c r="T29" s="128"/>
      <c r="U29" s="57"/>
    </row>
    <row r="30" spans="1:22" ht="36" customHeight="1">
      <c r="A30" s="31"/>
      <c r="B30" s="32" t="str">
        <f ca="1">'Control Entry'!N49</f>
        <v/>
      </c>
      <c r="C30" s="32" t="str">
        <f ca="1">'Control Entry'!O49</f>
        <v/>
      </c>
      <c r="D30" s="39"/>
      <c r="E30" s="34" t="str">
        <f ca="1">IF(ISBLANK('Control Entry'!F49),"",'Control Entry'!F49)</f>
        <v/>
      </c>
      <c r="F30" s="106" t="str">
        <f ca="1">IF(ISBLANK('Control Entry'!I49),"",'Control Entry'!I49)</f>
        <v/>
      </c>
      <c r="G30" s="107"/>
      <c r="H30" s="29" t="s">
        <v>29</v>
      </c>
      <c r="M30" s="16"/>
      <c r="N30" s="21"/>
      <c r="O30" s="21"/>
      <c r="P30" s="22"/>
      <c r="Q30" s="21"/>
      <c r="R30" s="21"/>
      <c r="S30" s="21"/>
      <c r="T30" s="22"/>
      <c r="U30" s="23"/>
    </row>
    <row r="31" spans="1:22" ht="36" customHeight="1">
      <c r="A31" s="40" t="str">
        <f ca="1">IF(ISBLANK('Control Entry'!D49),"",'Control Entry'!D49)</f>
        <v/>
      </c>
      <c r="B31" s="41" t="str">
        <f ca="1">'Control Entry'!N49</f>
        <v/>
      </c>
      <c r="C31" s="41" t="str">
        <f ca="1">'Control Entry'!O49</f>
        <v/>
      </c>
      <c r="D31" s="42" t="str">
        <f ca="1">IF(ISBLANK('Control Entry'!E49),"",'Control Entry'!E49)</f>
        <v/>
      </c>
      <c r="E31" s="34" t="str">
        <f ca="1">IF(ISBLANK('Control Entry'!G49),"",'Control Entry'!G49)</f>
        <v/>
      </c>
      <c r="F31" s="106" t="str">
        <f ca="1">IF(ISBLANK('Control Entry'!J49),"",'Control Entry'!J49)</f>
        <v/>
      </c>
      <c r="G31" s="107"/>
      <c r="H31" s="29" t="s">
        <v>29</v>
      </c>
      <c r="M31" s="17"/>
      <c r="N31" s="23"/>
      <c r="O31" s="23"/>
      <c r="P31" s="24"/>
      <c r="Q31" s="23"/>
      <c r="R31" s="23"/>
      <c r="S31" s="23"/>
      <c r="T31" s="24"/>
      <c r="U31" s="23"/>
    </row>
    <row r="32" spans="1:22" ht="36" customHeight="1" thickBot="1">
      <c r="A32" s="35"/>
      <c r="B32" s="36" t="str">
        <f ca="1">'Control Entry'!N49</f>
        <v/>
      </c>
      <c r="C32" s="36" t="str">
        <f ca="1">'Control Entry'!O49</f>
        <v/>
      </c>
      <c r="D32" s="37"/>
      <c r="E32" s="38" t="str">
        <f ca="1">IF(ISBLANK('Control Entry'!H49),"",'Control Entry'!H49)</f>
        <v/>
      </c>
      <c r="F32" s="111" t="str">
        <f ca="1">IF(ISBLANK('Control Entry'!K49),"",'Control Entry'!K49)</f>
        <v/>
      </c>
      <c r="G32" s="110"/>
      <c r="H32" s="29" t="s">
        <v>29</v>
      </c>
      <c r="M32" s="55"/>
      <c r="N32" s="20"/>
      <c r="O32" s="20"/>
      <c r="P32" s="25"/>
      <c r="Q32" s="20"/>
      <c r="R32" s="20"/>
      <c r="S32" s="20"/>
      <c r="T32" s="25"/>
      <c r="U32" s="23"/>
    </row>
    <row r="33" spans="1:22" ht="36" customHeight="1">
      <c r="A33" s="147" t="s">
        <v>43</v>
      </c>
      <c r="B33" s="147"/>
      <c r="C33" s="147"/>
      <c r="D33" s="147"/>
      <c r="E33" s="147"/>
      <c r="F33" s="147"/>
      <c r="G33" s="147"/>
      <c r="H33" s="43"/>
      <c r="I33" s="43"/>
      <c r="M33" s="131" t="s">
        <v>82</v>
      </c>
      <c r="N33" s="132"/>
      <c r="O33" s="132"/>
      <c r="P33" s="132"/>
      <c r="Q33" s="133">
        <f ca="1">'Control Entry'!B3</f>
        <v>44674</v>
      </c>
      <c r="R33" s="134"/>
      <c r="S33" s="134"/>
      <c r="T33" s="134"/>
      <c r="U33" s="101"/>
      <c r="V33" s="51"/>
    </row>
    <row r="34" spans="1:22" ht="36" customHeight="1">
      <c r="A34"/>
      <c r="O34" s="49"/>
      <c r="P34" s="49"/>
      <c r="Q34" s="49"/>
      <c r="R34" s="48"/>
    </row>
    <row r="35" spans="1:22" ht="36" customHeight="1">
      <c r="A35"/>
      <c r="N35" s="128"/>
      <c r="O35" s="128"/>
      <c r="P35" s="128"/>
      <c r="Q35" s="128"/>
      <c r="R35" s="128"/>
      <c r="S35" s="128"/>
      <c r="T35" s="128"/>
      <c r="U35" s="128"/>
    </row>
    <row r="36" spans="1:22" ht="36" customHeight="1">
      <c r="A36"/>
      <c r="N36" s="30"/>
      <c r="O36" s="23"/>
      <c r="P36" s="23"/>
      <c r="Q36" s="23"/>
      <c r="R36" s="23"/>
      <c r="S36" s="23"/>
      <c r="T36" s="23"/>
      <c r="U36" s="23"/>
    </row>
    <row r="37" spans="1:22" ht="36" customHeight="1">
      <c r="A37"/>
      <c r="N37" s="30"/>
      <c r="O37" s="23"/>
      <c r="P37" s="23"/>
      <c r="Q37" s="23"/>
      <c r="R37" s="23"/>
      <c r="S37" s="23"/>
      <c r="T37" s="23"/>
      <c r="U37" s="23"/>
    </row>
    <row r="38" spans="1:22" ht="36" customHeight="1">
      <c r="A38"/>
      <c r="N38" s="58"/>
      <c r="O38" s="23"/>
      <c r="P38" s="23"/>
      <c r="Q38" s="23"/>
      <c r="R38" s="23"/>
      <c r="S38" s="23"/>
      <c r="T38" s="23"/>
      <c r="U38" s="23"/>
    </row>
    <row r="39" spans="1:22" ht="36" customHeight="1">
      <c r="A39"/>
    </row>
    <row r="40" spans="1:22" ht="36" customHeight="1">
      <c r="A40"/>
    </row>
  </sheetData>
  <sheetProtection sheet="1" objects="1" scenarios="1" formatCells="0" selectLockedCells="1"/>
  <mergeCells count="38">
    <mergeCell ref="L20:N20"/>
    <mergeCell ref="N35:U35"/>
    <mergeCell ref="U27:V27"/>
    <mergeCell ref="M29:T29"/>
    <mergeCell ref="K27:L27"/>
    <mergeCell ref="N27:O27"/>
    <mergeCell ref="L16:U16"/>
    <mergeCell ref="S22:U22"/>
    <mergeCell ref="J24:N24"/>
    <mergeCell ref="S24:U24"/>
    <mergeCell ref="S20:U20"/>
    <mergeCell ref="U25:V25"/>
    <mergeCell ref="P27:Q27"/>
    <mergeCell ref="S27:T27"/>
    <mergeCell ref="M33:P33"/>
    <mergeCell ref="Q33:T33"/>
    <mergeCell ref="A33:G33"/>
    <mergeCell ref="J25:N25"/>
    <mergeCell ref="P25:Q25"/>
    <mergeCell ref="S25:T25"/>
    <mergeCell ref="L15:U15"/>
    <mergeCell ref="L9:U9"/>
    <mergeCell ref="L10:U10"/>
    <mergeCell ref="L11:N11"/>
    <mergeCell ref="S11:U11"/>
    <mergeCell ref="L12:N12"/>
    <mergeCell ref="S12:U12"/>
    <mergeCell ref="L13:N13"/>
    <mergeCell ref="R13:U13"/>
    <mergeCell ref="L6:U6"/>
    <mergeCell ref="L8:Q8"/>
    <mergeCell ref="T8:U8"/>
    <mergeCell ref="A1:G1"/>
    <mergeCell ref="K2:U2"/>
    <mergeCell ref="M4:T4"/>
    <mergeCell ref="N5:O5"/>
    <mergeCell ref="R5:U5"/>
    <mergeCell ref="O3:R3"/>
  </mergeCells>
  <phoneticPr fontId="27" type="noConversion"/>
  <printOptions horizontalCentered="1" verticalCentered="1"/>
  <pageMargins left="0.2" right="0.2" top="0.2" bottom="0.2" header="0.51" footer="0.51"/>
  <pageSetup scale="46" orientation="landscape" horizontalDpi="4294967292" verticalDpi="4294967292" r:id="rId1"/>
  <ignoredErrors>
    <ignoredError sqref="L2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29</vt:i4>
      </vt:variant>
    </vt:vector>
  </HeadingPairs>
  <TitlesOfParts>
    <vt:vector size="33" baseType="lpstr">
      <vt:lpstr>Control Entry</vt:lpstr>
      <vt:lpstr>Control Card #1</vt:lpstr>
      <vt:lpstr>Control Card #2</vt:lpstr>
      <vt:lpstr>Control Card #3</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#1'!Print_Titles</vt:lpstr>
      <vt:lpstr>'Control Card #2'!Print_Titles</vt:lpstr>
      <vt:lpstr>'Control Card #3'!Print_Titles</vt:lpstr>
      <vt:lpstr>Start_date</vt:lpstr>
      <vt:lpstr>Start_time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Mireille</cp:lastModifiedBy>
  <cp:lastPrinted>2023-07-07T18:04:23Z</cp:lastPrinted>
  <dcterms:created xsi:type="dcterms:W3CDTF">1997-11-12T04:43:39Z</dcterms:created>
  <dcterms:modified xsi:type="dcterms:W3CDTF">2023-07-07T22:04:37Z</dcterms:modified>
</cp:coreProperties>
</file>