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Control Entry" sheetId="1" r:id="rId1"/>
    <sheet name="Control Sheet" sheetId="2" r:id="rId2"/>
    <sheet name="Riders" sheetId="3" r:id="rId3"/>
    <sheet name="VI0301A 010817" sheetId="4" r:id="rId4"/>
    <sheet name="Web sheet" sheetId="5" r:id="rId5"/>
    <sheet name="Web results" sheetId="6" r:id="rId6"/>
    <sheet name="Signon" sheetId="7" r:id="rId7"/>
  </sheets>
  <definedNames>
    <definedName name="_xlnm.Print_Titles" localSheetId="1">'Control Sheet'!$1:$2</definedName>
    <definedName name="Address_1">'Riders'!$E$2</definedName>
    <definedName name="Address_2">'Riders'!$F$2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'Riders'!$G$2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'Riders'!$I$2</definedName>
    <definedName name="Distance">'Control Entry'!$D$10:$D$29</definedName>
    <definedName name="email">'Riders'!$N$2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ax">'Riders'!$M$2</definedName>
    <definedName name="First_Name">'Riders'!$C$2</definedName>
    <definedName name="Home_telephone">'Riders'!$K$2</definedName>
    <definedName name="Initial">'Riders'!$D$2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'Riders'!$J$2</definedName>
    <definedName name="Province_State">'Riders'!$H$2</definedName>
    <definedName name="Start_date">'Control Entry'!$B$5</definedName>
    <definedName name="Start_time">'Control Entry'!$B$6</definedName>
    <definedName name="surname">'Riders'!$B$2</definedName>
    <definedName name="Work_telephone">'Riders'!$L$2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8"/>
            <color indexed="8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<sst xmlns="http://schemas.openxmlformats.org/spreadsheetml/2006/main" count="709" uniqueCount="271">
  <si>
    <t>Brevet Length:</t>
  </si>
  <si>
    <t>Maximum Time:</t>
  </si>
  <si>
    <t>Brevet Description:</t>
  </si>
  <si>
    <t>Tour of Nanaimo and Cowichan Valleys</t>
  </si>
  <si>
    <t>Brevet Number:</t>
  </si>
  <si>
    <t>VI0301A</t>
  </si>
  <si>
    <t>Start Date:</t>
  </si>
  <si>
    <t>Start Time:</t>
  </si>
  <si>
    <t>Control</t>
  </si>
  <si>
    <t>Distance</t>
  </si>
  <si>
    <t>Locale</t>
  </si>
  <si>
    <t>Establishment 1</t>
  </si>
  <si>
    <t>Establishment 2</t>
  </si>
  <si>
    <t>Establishment 3</t>
  </si>
  <si>
    <t>Open</t>
  </si>
  <si>
    <t>Close</t>
  </si>
  <si>
    <t>Open time</t>
  </si>
  <si>
    <t>Close time</t>
  </si>
  <si>
    <t>Control 1</t>
  </si>
  <si>
    <t>YELLOW POINT</t>
  </si>
  <si>
    <t>Hinde residence</t>
  </si>
  <si>
    <t>3835 Paulson</t>
  </si>
  <si>
    <t>Control 2</t>
  </si>
  <si>
    <t>LADYSMITH</t>
  </si>
  <si>
    <t>Your choice</t>
  </si>
  <si>
    <t>1st Avenue</t>
  </si>
  <si>
    <t>Control 3</t>
  </si>
  <si>
    <t>GENOA BAY</t>
  </si>
  <si>
    <t>Genoa Bay Marina</t>
  </si>
  <si>
    <t>Control 4</t>
  </si>
  <si>
    <t>SHAWNIGAN LAKE</t>
  </si>
  <si>
    <t>Shawnigan Village</t>
  </si>
  <si>
    <t>Control 5</t>
  </si>
  <si>
    <t>GLENORA</t>
  </si>
  <si>
    <t>Indian &amp; Glenora</t>
  </si>
  <si>
    <t>Control 6</t>
  </si>
  <si>
    <t>YOUBOU</t>
  </si>
  <si>
    <t>Daly's Gas</t>
  </si>
  <si>
    <t>Control 7</t>
  </si>
  <si>
    <t>Control 8</t>
  </si>
  <si>
    <t>Control 9</t>
  </si>
  <si>
    <t>SECRET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</si>
  <si>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</si>
  <si>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</si>
  <si>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</si>
  <si>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</si>
  <si>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</si>
  <si>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</si>
  <si>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</si>
  <si>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</si>
  <si>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</si>
  <si>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</si>
  <si>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</si>
  <si>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</si>
  <si>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|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</si>
  <si>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</si>
  <si>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</si>
  <si>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</si>
  <si>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</si>
  <si>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</si>
  <si>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</si>
  <si>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</si>
  <si>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</si>
  <si>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</si>
  <si>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</si>
  <si>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</si>
  <si>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</si>
  <si>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</si>
  <si>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</si>
  <si>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</si>
  <si>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</si>
  <si>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</si>
  <si>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</si>
  <si>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</si>
  <si>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</si>
  <si>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</si>
  <si>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</si>
  <si>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cel (250)246-0238</t>
  </si>
  <si>
    <t>msg(250)245-4751</t>
  </si>
  <si>
    <t>Brevet No.</t>
  </si>
  <si>
    <t>Surname</t>
  </si>
  <si>
    <t>First Name</t>
  </si>
  <si>
    <t>Initial</t>
  </si>
  <si>
    <t>Address 1</t>
  </si>
  <si>
    <t>Address 2</t>
  </si>
  <si>
    <t>Home telephone</t>
  </si>
  <si>
    <t>Work telephone</t>
  </si>
  <si>
    <t>Fax</t>
  </si>
  <si>
    <t>Finish Time</t>
  </si>
  <si>
    <t>Penalties</t>
  </si>
  <si>
    <t>Rand Memb</t>
  </si>
  <si>
    <t>Pin</t>
  </si>
  <si>
    <t>r - 1/2 hr - route violation</t>
  </si>
  <si>
    <t>l - 1/2 hr - no lights</t>
  </si>
  <si>
    <t>f - 1/2 hr - no fenders</t>
  </si>
  <si>
    <t>e - rode early</t>
  </si>
  <si>
    <t>d - rode late</t>
  </si>
  <si>
    <t>At  km</t>
  </si>
  <si>
    <t>Turn</t>
  </si>
  <si>
    <t>onto  ROUTE</t>
  </si>
  <si>
    <t xml:space="preserve"> then   Go km</t>
  </si>
  <si>
    <t>START--Hinde residence</t>
  </si>
  <si>
    <t>SO</t>
  </si>
  <si>
    <t>HAREWOOD MINES (at stop sign)</t>
  </si>
  <si>
    <t>3835 Paulson, Yellow Point</t>
  </si>
  <si>
    <t>L</t>
  </si>
  <si>
    <t>NANAIMO LAKES (after pound)</t>
  </si>
  <si>
    <t>SOUTH FORKS (paved, not gravel)</t>
  </si>
  <si>
    <t>R</t>
  </si>
  <si>
    <t>PAULSON</t>
  </si>
  <si>
    <t>NANAIMO RIVER (at stop sign)</t>
  </si>
  <si>
    <t>YELLOWPOINT</t>
  </si>
  <si>
    <t>S. WELLINGTON(to Hwy #1)(RR X)</t>
  </si>
  <si>
    <t>DECOURCEY (on downhill)</t>
  </si>
  <si>
    <t>HIGHWAY #1</t>
  </si>
  <si>
    <t>GREENWAY (immediately)</t>
  </si>
  <si>
    <t>VOWELS (at store)</t>
  </si>
  <si>
    <t>BOAT HARBOUR (at stop sign)</t>
  </si>
  <si>
    <t>HALLBERG (no exit ahead)</t>
  </si>
  <si>
    <t>TIESU (top of dip)</t>
  </si>
  <si>
    <t>TIMBERLAND (at stop)</t>
  </si>
  <si>
    <t>THOMAS PARK (just before stop)</t>
  </si>
  <si>
    <t>CAMERON (first left)</t>
  </si>
  <si>
    <t>GOULD (at stop)</t>
  </si>
  <si>
    <t>TAKALA (top of hill)</t>
  </si>
  <si>
    <t>GRIEVE (1st right)</t>
  </si>
  <si>
    <t>THOMAS (first left after RR X)</t>
  </si>
  <si>
    <t>MORLAND (at stop)</t>
  </si>
  <si>
    <t>CEDAR (to lights)</t>
  </si>
  <si>
    <t>WOOBANK (first right)</t>
  </si>
  <si>
    <t>HWY #1 (traffic lights)</t>
  </si>
  <si>
    <t>HOLDEN-CORSO (at stop)</t>
  </si>
  <si>
    <t>FIRST (2nd traffic lights)</t>
  </si>
  <si>
    <t>McMILLAN (at store)</t>
  </si>
  <si>
    <t>across roundabout</t>
  </si>
  <si>
    <t>HARMAC (at T)</t>
  </si>
  <si>
    <t>CEDAR (at Nanaimo River)</t>
  </si>
  <si>
    <t>CONTROL #1--Your choice</t>
  </si>
  <si>
    <t>First Ave., Ladysmith</t>
  </si>
  <si>
    <t>TENTH (traffic lights)</t>
  </si>
  <si>
    <t>BRUCE (no choice)</t>
  </si>
  <si>
    <t>SEVENTH (at 2nd 4-way stop)</t>
  </si>
  <si>
    <t>FIRST (continue south)</t>
  </si>
  <si>
    <t>U</t>
  </si>
  <si>
    <t>GENOA BAY (U-turn)</t>
  </si>
  <si>
    <t>DOGWOOD (Dalby's boats)</t>
  </si>
  <si>
    <t>MAPLE BAY (at stop sign)</t>
  </si>
  <si>
    <t>DOGWOOD (leftish)</t>
  </si>
  <si>
    <t>TZOUHALEM (at St. Edwards)</t>
  </si>
  <si>
    <t>DAVIS (at stop)</t>
  </si>
  <si>
    <t>COWICHAN BAY (at Tennis courts)</t>
  </si>
  <si>
    <t>HWY #1 (south)(at stop)</t>
  </si>
  <si>
    <t>CHERRY POINT (at 4-Ways)</t>
  </si>
  <si>
    <t>WESTDOWNE (1st right)</t>
  </si>
  <si>
    <t>CHERRY POINT (at obvious bend)</t>
  </si>
  <si>
    <t>HWY #1 (no choice)</t>
  </si>
  <si>
    <t>TELEGRAPH (at T)</t>
  </si>
  <si>
    <t>SMILEY (after light)</t>
  </si>
  <si>
    <t>KILMALU (at T)</t>
  </si>
  <si>
    <t>SMILEY (immediately)</t>
  </si>
  <si>
    <t>HIGHWAY #1 (at lights)</t>
  </si>
  <si>
    <t>Cross Henry</t>
  </si>
  <si>
    <t>SHAWNIGAN-MILL BAY(next lights)</t>
  </si>
  <si>
    <t>SMILEY</t>
  </si>
  <si>
    <t>SHAWNIGAN LAKE (at 4 way stop)</t>
  </si>
  <si>
    <t>Mt. SICKER (at light--Tempo)</t>
  </si>
  <si>
    <t>CONTROL #3--Your choice</t>
  </si>
  <si>
    <t>WESTHOLME (at stop)</t>
  </si>
  <si>
    <t>RICHARDS TRAIL (on downhill)</t>
  </si>
  <si>
    <t>HERD (at stop sign)</t>
  </si>
  <si>
    <t>DRUMMOND (2nd after fire hall)</t>
  </si>
  <si>
    <t>CHISHOLM (first right)</t>
  </si>
  <si>
    <t>GENOA BAY (at T)</t>
  </si>
  <si>
    <t>CONTROL #2--Your choice</t>
  </si>
  <si>
    <t>Genoa Bay</t>
  </si>
  <si>
    <t>SHAWNIGAN LAKE(continue south)</t>
  </si>
  <si>
    <t>INDIAN (continue north)</t>
  </si>
  <si>
    <t>SHAWNIGAN LAKE (not up hill!))</t>
  </si>
  <si>
    <t>Cross Cowichan River</t>
  </si>
  <si>
    <t>SHAWNIGAN LAKE (at stop sign)</t>
  </si>
  <si>
    <t>ALLENBY</t>
  </si>
  <si>
    <t>W. SHAWNIGAN (no hill)</t>
  </si>
  <si>
    <t>GOVERNMENT (at lights)</t>
  </si>
  <si>
    <t>RENFREW (at stop sign)</t>
  </si>
  <si>
    <t>GIBBINS (after Esso)</t>
  </si>
  <si>
    <t>SHAWNIGAN LAKE (after RR X)</t>
  </si>
  <si>
    <t>MENZIES (after Vimy on left)</t>
  </si>
  <si>
    <t>Cross Highway #1</t>
  </si>
  <si>
    <t>OLD LAKE COWICHAN (at T)</t>
  </si>
  <si>
    <t>COWICHAN BAY</t>
  </si>
  <si>
    <t>Cross Skutz Falls Rd.</t>
  </si>
  <si>
    <t>TELEGRAPH (before school)</t>
  </si>
  <si>
    <t>OLD LAKE COWICHAN</t>
  </si>
  <si>
    <t>KOKSILAH (at T)</t>
  </si>
  <si>
    <t>GREENDALE (first left)</t>
  </si>
  <si>
    <t>SOUTH SHORE (first left)</t>
  </si>
  <si>
    <t xml:space="preserve">KOKSILAH  </t>
  </si>
  <si>
    <t>NORTH SHORE (at Riverside Inn)</t>
  </si>
  <si>
    <t>MILLER (1st left after dump)</t>
  </si>
  <si>
    <t>MEADES CREEK (at top of hill)</t>
  </si>
  <si>
    <t>GLENORA (first left)</t>
  </si>
  <si>
    <t>COWICHAN VALLEY HWY (at T)</t>
  </si>
  <si>
    <t>INDIAN (at 4 way stop)</t>
  </si>
  <si>
    <t>CONTROL #5 -- Daly's Gas</t>
  </si>
  <si>
    <t>CONTROL #4--Your choice</t>
  </si>
  <si>
    <t>Youbou</t>
  </si>
  <si>
    <t xml:space="preserve">Glenora  </t>
  </si>
  <si>
    <t>Turn back towards Duncan</t>
  </si>
  <si>
    <t>FINISH--Hinde residence</t>
  </si>
  <si>
    <t>COWICHAN VALLEY HWY(stop)</t>
  </si>
  <si>
    <t>Cross Hwy #1</t>
  </si>
  <si>
    <t>HERD</t>
  </si>
  <si>
    <t>BELL-McKINNON (at flashing light)</t>
  </si>
  <si>
    <t>WESTHOLME (at T)</t>
  </si>
  <si>
    <t>CHEMAINUS (at Mt. Sicker)</t>
  </si>
  <si>
    <t>North through Chemainus</t>
  </si>
  <si>
    <t>HWY #1 (at traffic lights)</t>
  </si>
  <si>
    <t>FIRST (LUDLOW)(at traffic lights)</t>
  </si>
  <si>
    <t>ROCK CREEK (at T, no sign)</t>
  </si>
  <si>
    <t>Stop sign</t>
  </si>
  <si>
    <t>HWY #1 on ramp (LIMBERIS)</t>
  </si>
  <si>
    <t>BRENTON-PAGE (1st after lights)</t>
  </si>
  <si>
    <t>CODE (1st left)</t>
  </si>
  <si>
    <t>CEDAR (at stop sign)</t>
  </si>
  <si>
    <t>YELLOWPOINT (at store)</t>
  </si>
  <si>
    <t>Pass Roberts Park 2km sign</t>
  </si>
  <si>
    <t>PAULSON (next left)</t>
  </si>
  <si>
    <t>!!! CONGRATULATIONS !!!</t>
  </si>
  <si>
    <t>Go to 50 km point</t>
  </si>
  <si>
    <t>Go to100 km point</t>
  </si>
  <si>
    <t>Go to 150 km point</t>
  </si>
  <si>
    <t>Go to 200 km point</t>
  </si>
  <si>
    <t>Go to 250 km point</t>
  </si>
  <si>
    <t>DECOURCEY (2nd right)</t>
  </si>
  <si>
    <t>Go to Control #1</t>
  </si>
  <si>
    <t>Go to Control #2</t>
  </si>
  <si>
    <t>Go to Control #3</t>
  </si>
  <si>
    <t>YELLOW POINT (at stop sign)</t>
  </si>
  <si>
    <t>Go to Control #4</t>
  </si>
  <si>
    <t>CEDAR (at Y)</t>
  </si>
  <si>
    <t>Go to Control #5</t>
  </si>
  <si>
    <t>Go to Control #6</t>
  </si>
  <si>
    <t>Go to Finish</t>
  </si>
  <si>
    <t>MacMILLAN (at store)</t>
  </si>
  <si>
    <t>Return to start</t>
  </si>
  <si>
    <t>BAYVIEW (Dalby's boats)</t>
  </si>
  <si>
    <t>CHEMAINUS (traffic lights)</t>
  </si>
  <si>
    <t xml:space="preserve">South through Chemainus </t>
  </si>
  <si>
    <t>CROFTON (at store)</t>
  </si>
  <si>
    <t>CHAPLIN (after Welcome sign)</t>
  </si>
  <si>
    <t>YORK (after Brass Bell)</t>
  </si>
  <si>
    <t>OSBORNE BAY (at Adelaide St.)</t>
  </si>
  <si>
    <t>COWICHAN VALLEY HIGHWAY</t>
  </si>
  <si>
    <t>TANSOR (at flashing light)</t>
  </si>
  <si>
    <t>OLD LAKE COWICHAN (at store)</t>
  </si>
  <si>
    <t>SOMENOS (at 4 way stop)</t>
  </si>
  <si>
    <t>CONTROL #6--Your choice</t>
  </si>
  <si>
    <t>Berkey's Corner</t>
  </si>
  <si>
    <t>SOMENOS (north)</t>
  </si>
  <si>
    <t>Cross Highway #18</t>
  </si>
  <si>
    <t>WESTHOLME</t>
  </si>
  <si>
    <t>CHEMAINUS (at 1st left)</t>
  </si>
  <si>
    <t>FIRST (at traffic lights)</t>
  </si>
  <si>
    <t>HWY #1 on ramp</t>
  </si>
  <si>
    <t>YELLOW POINT (at store)</t>
  </si>
  <si>
    <t>RIDER</t>
  </si>
  <si>
    <t>TIME</t>
  </si>
  <si>
    <t>Note:  1.  distance in time column represents incomplete ride.</t>
  </si>
  <si>
    <t>………2.  time is in hours and minutes.</t>
  </si>
  <si>
    <t>………3.  Penalties included:  l - 1/2 hr - no lights; f - 1/2 hr - no fenders</t>
  </si>
  <si>
    <t>………4.  Other codes:  e - rode early; d - rode late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</si>
</sst>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GENERAL"/>
    <numFmt numFmtId="166" formatCode="@"/>
    <numFmt numFmtId="167" formatCode="D\-MMM\-YY"/>
    <numFmt numFmtId="168" formatCode="H:MM"/>
    <numFmt numFmtId="169" formatCode="0.0"/>
    <numFmt numFmtId="170" formatCode="DD/MMM/YY\ HH:MM\ AM/PM"/>
    <numFmt numFmtId="171" formatCode="DDDD"/>
    <numFmt numFmtId="172" formatCode="H:MM\ AM/PM"/>
    <numFmt numFmtId="173" formatCode="D/MMM/YY"/>
    <numFmt numFmtId="174" formatCode="[&lt;=9999999]###\-####;\(###&quot;) &quot;###\-####"/>
    <numFmt numFmtId="175" formatCode="MMMM\ D&quot;, &quot;YYYY"/>
  </numFmts>
  <fonts count="17">
    <font>
      <sz val="10"/>
      <name val="Arial"/>
      <family val="2"/>
    </font>
    <font>
      <sz val="8"/>
      <color indexed="8"/>
      <name val="Tahoma"/>
      <family val="2"/>
    </font>
    <font>
      <i/>
      <sz val="16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3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 applyProtection="1">
      <alignment/>
      <protection hidden="1"/>
    </xf>
    <xf numFmtId="164" fontId="0" fillId="2" borderId="1" xfId="0" applyFont="1" applyFill="1" applyBorder="1" applyAlignment="1">
      <alignment horizontal="right"/>
    </xf>
    <xf numFmtId="164" fontId="0" fillId="0" borderId="2" xfId="0" applyBorder="1" applyAlignment="1" applyProtection="1">
      <alignment/>
      <protection locked="0"/>
    </xf>
    <xf numFmtId="164" fontId="0" fillId="0" borderId="0" xfId="0" applyAlignment="1">
      <alignment/>
    </xf>
    <xf numFmtId="164" fontId="0" fillId="2" borderId="3" xfId="0" applyFont="1" applyFill="1" applyBorder="1" applyAlignment="1">
      <alignment horizontal="right"/>
    </xf>
    <xf numFmtId="164" fontId="0" fillId="2" borderId="4" xfId="0" applyFill="1" applyBorder="1" applyAlignment="1">
      <alignment/>
    </xf>
    <xf numFmtId="164" fontId="0" fillId="0" borderId="5" xfId="0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hidden="1"/>
    </xf>
    <xf numFmtId="164" fontId="0" fillId="0" borderId="0" xfId="0" applyBorder="1" applyAlignment="1">
      <alignment horizontal="center"/>
    </xf>
    <xf numFmtId="167" fontId="0" fillId="0" borderId="4" xfId="0" applyNumberFormat="1" applyBorder="1" applyAlignment="1" applyProtection="1">
      <alignment/>
      <protection locked="0"/>
    </xf>
    <xf numFmtId="164" fontId="0" fillId="2" borderId="6" xfId="0" applyFont="1" applyFill="1" applyBorder="1" applyAlignment="1">
      <alignment horizontal="right"/>
    </xf>
    <xf numFmtId="168" fontId="0" fillId="0" borderId="7" xfId="0" applyNumberFormat="1" applyBorder="1" applyAlignment="1" applyProtection="1">
      <alignment/>
      <protection locked="0"/>
    </xf>
    <xf numFmtId="164" fontId="0" fillId="2" borderId="5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0" fillId="2" borderId="8" xfId="0" applyFont="1" applyFill="1" applyBorder="1" applyAlignment="1">
      <alignment/>
    </xf>
    <xf numFmtId="164" fontId="0" fillId="2" borderId="9" xfId="0" applyFont="1" applyFill="1" applyBorder="1" applyAlignment="1">
      <alignment/>
    </xf>
    <xf numFmtId="164" fontId="0" fillId="2" borderId="10" xfId="0" applyFont="1" applyFill="1" applyBorder="1" applyAlignment="1">
      <alignment/>
    </xf>
    <xf numFmtId="169" fontId="0" fillId="0" borderId="11" xfId="0" applyNumberFormat="1" applyBorder="1" applyAlignment="1" applyProtection="1">
      <alignment/>
      <protection locked="0"/>
    </xf>
    <xf numFmtId="164" fontId="0" fillId="0" borderId="12" xfId="0" applyFont="1" applyBorder="1" applyAlignment="1" applyProtection="1">
      <alignment/>
      <protection locked="0"/>
    </xf>
    <xf numFmtId="166" fontId="0" fillId="0" borderId="12" xfId="0" applyNumberFormat="1" applyFont="1" applyBorder="1" applyAlignment="1" applyProtection="1">
      <alignment horizont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70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center" vertical="center" wrapText="1"/>
    </xf>
    <xf numFmtId="164" fontId="0" fillId="0" borderId="11" xfId="0" applyBorder="1" applyAlignment="1" applyProtection="1">
      <alignment/>
      <protection locked="0"/>
    </xf>
    <xf numFmtId="164" fontId="0" fillId="0" borderId="13" xfId="0" applyBorder="1" applyAlignment="1" applyProtection="1">
      <alignment/>
      <protection locked="0"/>
    </xf>
    <xf numFmtId="164" fontId="0" fillId="0" borderId="14" xfId="0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164" fontId="2" fillId="0" borderId="0" xfId="0" applyFont="1" applyBorder="1" applyAlignment="1">
      <alignment horizontal="center" vertical="center"/>
    </xf>
    <xf numFmtId="164" fontId="3" fillId="2" borderId="5" xfId="0" applyFont="1" applyFill="1" applyBorder="1" applyAlignment="1">
      <alignment horizontal="center" wrapText="1"/>
    </xf>
    <xf numFmtId="164" fontId="3" fillId="2" borderId="5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169" fontId="4" fillId="0" borderId="15" xfId="0" applyNumberFormat="1" applyFont="1" applyBorder="1" applyAlignment="1">
      <alignment horizontal="center" wrapText="1"/>
    </xf>
    <xf numFmtId="171" fontId="4" fillId="0" borderId="15" xfId="0" applyNumberFormat="1" applyFont="1" applyBorder="1" applyAlignment="1">
      <alignment horizontal="center" vertical="center" wrapText="1"/>
    </xf>
    <xf numFmtId="164" fontId="4" fillId="0" borderId="16" xfId="0" applyFont="1" applyBorder="1" applyAlignment="1">
      <alignment horizontal="center" vertical="center"/>
    </xf>
    <xf numFmtId="164" fontId="5" fillId="0" borderId="15" xfId="0" applyFont="1" applyBorder="1" applyAlignment="1">
      <alignment horizontal="center" vertical="center" wrapText="1"/>
    </xf>
    <xf numFmtId="164" fontId="4" fillId="0" borderId="16" xfId="0" applyFont="1" applyBorder="1" applyAlignment="1">
      <alignment horizontal="center"/>
    </xf>
    <xf numFmtId="164" fontId="4" fillId="0" borderId="15" xfId="0" applyFont="1" applyBorder="1" applyAlignment="1">
      <alignment horizontal="center" wrapText="1"/>
    </xf>
    <xf numFmtId="164" fontId="0" fillId="0" borderId="0" xfId="0" applyAlignment="1">
      <alignment vertical="top" textRotation="90"/>
    </xf>
    <xf numFmtId="169" fontId="6" fillId="0" borderId="15" xfId="0" applyNumberFormat="1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 wrapText="1"/>
    </xf>
    <xf numFmtId="164" fontId="6" fillId="0" borderId="15" xfId="0" applyFont="1" applyBorder="1" applyAlignment="1">
      <alignment horizontal="center" vertical="center" wrapText="1"/>
    </xf>
    <xf numFmtId="169" fontId="4" fillId="0" borderId="6" xfId="0" applyNumberFormat="1" applyFont="1" applyBorder="1" applyAlignment="1">
      <alignment/>
    </xf>
    <xf numFmtId="173" fontId="4" fillId="0" borderId="6" xfId="0" applyNumberFormat="1" applyFont="1" applyBorder="1" applyAlignment="1">
      <alignment horizontal="center" vertical="center" wrapText="1"/>
    </xf>
    <xf numFmtId="164" fontId="4" fillId="0" borderId="17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 wrapText="1"/>
    </xf>
    <xf numFmtId="164" fontId="4" fillId="0" borderId="7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15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2" fillId="0" borderId="0" xfId="0" applyFont="1" applyAlignment="1">
      <alignment horizontal="center" vertical="top" wrapText="1"/>
    </xf>
    <xf numFmtId="164" fontId="8" fillId="0" borderId="0" xfId="0" applyFont="1" applyAlignment="1">
      <alignment/>
    </xf>
    <xf numFmtId="164" fontId="10" fillId="0" borderId="17" xfId="0" applyFont="1" applyBorder="1" applyAlignment="1" applyProtection="1">
      <alignment/>
      <protection/>
    </xf>
    <xf numFmtId="164" fontId="8" fillId="0" borderId="17" xfId="0" applyFont="1" applyBorder="1" applyAlignment="1" applyProtection="1">
      <alignment horizontal="center"/>
      <protection/>
    </xf>
    <xf numFmtId="164" fontId="8" fillId="0" borderId="17" xfId="0" applyFont="1" applyBorder="1" applyAlignment="1" applyProtection="1">
      <alignment horizontal="center"/>
      <protection locked="0"/>
    </xf>
    <xf numFmtId="164" fontId="10" fillId="0" borderId="17" xfId="0" applyFont="1" applyBorder="1" applyAlignment="1" applyProtection="1">
      <alignment/>
      <protection/>
    </xf>
    <xf numFmtId="164" fontId="8" fillId="0" borderId="17" xfId="0" applyFont="1" applyBorder="1" applyAlignment="1" applyProtection="1">
      <alignment/>
      <protection/>
    </xf>
    <xf numFmtId="164" fontId="8" fillId="0" borderId="17" xfId="0" applyFont="1" applyBorder="1" applyAlignment="1" applyProtection="1">
      <alignment/>
      <protection locked="0"/>
    </xf>
    <xf numFmtId="164" fontId="8" fillId="0" borderId="0" xfId="0" applyFont="1" applyAlignment="1" applyProtection="1">
      <alignment/>
      <protection/>
    </xf>
    <xf numFmtId="169" fontId="5" fillId="0" borderId="15" xfId="0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 wrapText="1"/>
    </xf>
    <xf numFmtId="164" fontId="0" fillId="0" borderId="0" xfId="0" applyAlignment="1" applyProtection="1">
      <alignment/>
      <protection/>
    </xf>
    <xf numFmtId="174" fontId="11" fillId="0" borderId="17" xfId="0" applyNumberFormat="1" applyFont="1" applyBorder="1" applyAlignment="1" applyProtection="1">
      <alignment horizontal="center"/>
      <protection/>
    </xf>
    <xf numFmtId="164" fontId="3" fillId="0" borderId="17" xfId="0" applyFont="1" applyBorder="1" applyAlignment="1" applyProtection="1">
      <alignment/>
      <protection/>
    </xf>
    <xf numFmtId="164" fontId="0" fillId="0" borderId="17" xfId="0" applyBorder="1" applyAlignment="1" applyProtection="1">
      <alignment/>
      <protection/>
    </xf>
    <xf numFmtId="164" fontId="0" fillId="0" borderId="17" xfId="0" applyBorder="1" applyAlignment="1" applyProtection="1">
      <alignment/>
      <protection locked="0"/>
    </xf>
    <xf numFmtId="164" fontId="3" fillId="0" borderId="0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wrapText="1"/>
    </xf>
    <xf numFmtId="175" fontId="8" fillId="0" borderId="17" xfId="0" applyNumberFormat="1" applyFont="1" applyBorder="1" applyAlignment="1">
      <alignment horizontal="center"/>
    </xf>
    <xf numFmtId="164" fontId="0" fillId="0" borderId="17" xfId="0" applyBorder="1" applyAlignment="1">
      <alignment/>
    </xf>
    <xf numFmtId="164" fontId="12" fillId="0" borderId="0" xfId="0" applyFont="1" applyBorder="1" applyAlignment="1">
      <alignment horizontal="center" vertical="top"/>
    </xf>
    <xf numFmtId="164" fontId="12" fillId="0" borderId="0" xfId="0" applyFont="1" applyBorder="1" applyAlignment="1" applyProtection="1">
      <alignment horizontal="center" wrapText="1"/>
      <protection/>
    </xf>
    <xf numFmtId="164" fontId="0" fillId="0" borderId="18" xfId="0" applyBorder="1" applyAlignment="1">
      <alignment/>
    </xf>
    <xf numFmtId="164" fontId="0" fillId="0" borderId="19" xfId="0" applyBorder="1" applyAlignment="1" applyProtection="1">
      <alignment/>
      <protection/>
    </xf>
    <xf numFmtId="164" fontId="0" fillId="0" borderId="20" xfId="0" applyBorder="1" applyAlignment="1" applyProtection="1">
      <alignment/>
      <protection/>
    </xf>
    <xf numFmtId="164" fontId="0" fillId="0" borderId="18" xfId="0" applyBorder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164" fontId="0" fillId="0" borderId="21" xfId="0" applyBorder="1" applyAlignment="1">
      <alignment/>
    </xf>
    <xf numFmtId="164" fontId="0" fillId="0" borderId="0" xfId="0" applyBorder="1" applyAlignment="1" applyProtection="1">
      <alignment/>
      <protection/>
    </xf>
    <xf numFmtId="164" fontId="0" fillId="0" borderId="16" xfId="0" applyBorder="1" applyAlignment="1" applyProtection="1">
      <alignment/>
      <protection/>
    </xf>
    <xf numFmtId="164" fontId="0" fillId="0" borderId="21" xfId="0" applyBorder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164" fontId="0" fillId="0" borderId="22" xfId="0" applyBorder="1" applyAlignment="1">
      <alignment/>
    </xf>
    <xf numFmtId="164" fontId="0" fillId="0" borderId="7" xfId="0" applyBorder="1" applyAlignment="1" applyProtection="1">
      <alignment/>
      <protection/>
    </xf>
    <xf numFmtId="164" fontId="0" fillId="0" borderId="22" xfId="0" applyBorder="1" applyAlignment="1" applyProtection="1">
      <alignment/>
      <protection/>
    </xf>
    <xf numFmtId="164" fontId="3" fillId="0" borderId="0" xfId="0" applyFont="1" applyAlignment="1">
      <alignment horizontal="center" vertical="center" wrapText="1"/>
    </xf>
    <xf numFmtId="164" fontId="0" fillId="0" borderId="0" xfId="0" applyBorder="1" applyAlignment="1">
      <alignment/>
    </xf>
    <xf numFmtId="164" fontId="0" fillId="0" borderId="0" xfId="0" applyFont="1" applyAlignment="1">
      <alignment/>
    </xf>
    <xf numFmtId="164" fontId="13" fillId="2" borderId="5" xfId="0" applyFont="1" applyFill="1" applyBorder="1" applyAlignment="1">
      <alignment/>
    </xf>
    <xf numFmtId="164" fontId="13" fillId="2" borderId="5" xfId="0" applyFont="1" applyFill="1" applyBorder="1" applyAlignment="1">
      <alignment wrapText="1"/>
    </xf>
    <xf numFmtId="174" fontId="13" fillId="2" borderId="5" xfId="0" applyNumberFormat="1" applyFont="1" applyFill="1" applyBorder="1" applyAlignment="1">
      <alignment/>
    </xf>
    <xf numFmtId="174" fontId="13" fillId="2" borderId="5" xfId="0" applyNumberFormat="1" applyFont="1" applyFill="1" applyBorder="1" applyAlignment="1">
      <alignment horizontal="center"/>
    </xf>
    <xf numFmtId="164" fontId="13" fillId="2" borderId="5" xfId="0" applyFont="1" applyFill="1" applyBorder="1" applyAlignment="1">
      <alignment horizontal="center"/>
    </xf>
    <xf numFmtId="164" fontId="13" fillId="2" borderId="5" xfId="0" applyFont="1" applyFill="1" applyBorder="1" applyAlignment="1">
      <alignment horizontal="center" wrapText="1"/>
    </xf>
    <xf numFmtId="164" fontId="0" fillId="3" borderId="3" xfId="0" applyFont="1" applyFill="1" applyBorder="1" applyAlignment="1">
      <alignment/>
    </xf>
    <xf numFmtId="174" fontId="0" fillId="3" borderId="3" xfId="0" applyNumberFormat="1" applyFont="1" applyFill="1" applyBorder="1" applyAlignment="1" applyProtection="1">
      <alignment/>
      <protection locked="0"/>
    </xf>
    <xf numFmtId="164" fontId="0" fillId="3" borderId="3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0" fillId="0" borderId="0" xfId="0" applyFont="1" applyAlignment="1" applyProtection="1">
      <alignment/>
      <protection locked="0"/>
    </xf>
    <xf numFmtId="164" fontId="0" fillId="0" borderId="3" xfId="0" applyFont="1" applyBorder="1" applyAlignment="1" applyProtection="1">
      <alignment/>
      <protection locked="0"/>
    </xf>
    <xf numFmtId="174" fontId="0" fillId="0" borderId="3" xfId="0" applyNumberFormat="1" applyFont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center"/>
      <protection locked="0"/>
    </xf>
    <xf numFmtId="164" fontId="0" fillId="0" borderId="3" xfId="0" applyBorder="1" applyAlignment="1" applyProtection="1">
      <alignment horizontal="center"/>
      <protection locked="0"/>
    </xf>
    <xf numFmtId="174" fontId="0" fillId="0" borderId="3" xfId="0" applyNumberFormat="1" applyFont="1" applyFill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left"/>
      <protection locked="0"/>
    </xf>
    <xf numFmtId="174" fontId="0" fillId="0" borderId="0" xfId="0" applyNumberFormat="1" applyAlignment="1">
      <alignment/>
    </xf>
    <xf numFmtId="164" fontId="0" fillId="0" borderId="0" xfId="0" applyAlignment="1">
      <alignment horizontal="center"/>
    </xf>
    <xf numFmtId="169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169" fontId="0" fillId="3" borderId="8" xfId="0" applyNumberFormat="1" applyFont="1" applyFill="1" applyBorder="1" applyAlignment="1">
      <alignment horizontal="right" textRotation="90" wrapText="1"/>
    </xf>
    <xf numFmtId="166" fontId="0" fillId="3" borderId="23" xfId="0" applyNumberFormat="1" applyFont="1" applyFill="1" applyBorder="1" applyAlignment="1">
      <alignment horizontal="center" textRotation="90"/>
    </xf>
    <xf numFmtId="166" fontId="0" fillId="3" borderId="24" xfId="0" applyNumberFormat="1" applyFont="1" applyFill="1" applyBorder="1" applyAlignment="1">
      <alignment horizontal="center" wrapText="1"/>
    </xf>
    <xf numFmtId="169" fontId="0" fillId="3" borderId="25" xfId="0" applyNumberFormat="1" applyFont="1" applyFill="1" applyBorder="1" applyAlignment="1">
      <alignment horizontal="center" textRotation="90" wrapText="1"/>
    </xf>
    <xf numFmtId="169" fontId="0" fillId="0" borderId="26" xfId="0" applyNumberFormat="1" applyBorder="1" applyAlignment="1">
      <alignment horizontal="right"/>
    </xf>
    <xf numFmtId="166" fontId="0" fillId="0" borderId="27" xfId="0" applyNumberFormat="1" applyBorder="1" applyAlignment="1">
      <alignment horizontal="center"/>
    </xf>
    <xf numFmtId="166" fontId="13" fillId="0" borderId="27" xfId="0" applyNumberFormat="1" applyFont="1" applyBorder="1" applyAlignment="1">
      <alignment horizontal="center"/>
    </xf>
    <xf numFmtId="169" fontId="0" fillId="0" borderId="28" xfId="0" applyNumberFormat="1" applyBorder="1" applyAlignment="1">
      <alignment horizontal="right"/>
    </xf>
    <xf numFmtId="166" fontId="0" fillId="0" borderId="29" xfId="0" applyNumberFormat="1" applyFont="1" applyBorder="1" applyAlignment="1">
      <alignment horizontal="center"/>
    </xf>
    <xf numFmtId="166" fontId="0" fillId="0" borderId="29" xfId="0" applyNumberFormat="1" applyFont="1" applyBorder="1" applyAlignment="1">
      <alignment horizontal="left"/>
    </xf>
    <xf numFmtId="166" fontId="13" fillId="0" borderId="29" xfId="0" applyNumberFormat="1" applyFont="1" applyBorder="1" applyAlignment="1">
      <alignment horizontal="center"/>
    </xf>
    <xf numFmtId="166" fontId="0" fillId="0" borderId="27" xfId="0" applyNumberFormat="1" applyBorder="1" applyAlignment="1">
      <alignment horizontal="left"/>
    </xf>
    <xf numFmtId="166" fontId="0" fillId="0" borderId="30" xfId="0" applyNumberFormat="1" applyFont="1" applyBorder="1" applyAlignment="1">
      <alignment horizontal="center"/>
    </xf>
    <xf numFmtId="166" fontId="0" fillId="0" borderId="30" xfId="0" applyNumberFormat="1" applyFont="1" applyBorder="1" applyAlignment="1">
      <alignment horizontal="left"/>
    </xf>
    <xf numFmtId="169" fontId="0" fillId="0" borderId="31" xfId="0" applyNumberFormat="1" applyBorder="1" applyAlignment="1">
      <alignment horizontal="right"/>
    </xf>
    <xf numFmtId="164" fontId="0" fillId="0" borderId="30" xfId="0" applyFont="1" applyBorder="1" applyAlignment="1">
      <alignment horizontal="center"/>
    </xf>
    <xf numFmtId="164" fontId="0" fillId="0" borderId="30" xfId="0" applyFont="1" applyBorder="1" applyAlignment="1">
      <alignment/>
    </xf>
    <xf numFmtId="169" fontId="13" fillId="0" borderId="26" xfId="0" applyNumberFormat="1" applyFont="1" applyBorder="1" applyAlignment="1">
      <alignment horizontal="right"/>
    </xf>
    <xf numFmtId="169" fontId="0" fillId="0" borderId="26" xfId="0" applyNumberFormat="1" applyFont="1" applyBorder="1" applyAlignment="1">
      <alignment horizontal="right"/>
    </xf>
    <xf numFmtId="169" fontId="0" fillId="0" borderId="28" xfId="0" applyNumberFormat="1" applyFont="1" applyBorder="1" applyAlignment="1">
      <alignment horizontal="right"/>
    </xf>
    <xf numFmtId="169" fontId="0" fillId="0" borderId="32" xfId="0" applyNumberFormat="1" applyBorder="1" applyAlignment="1">
      <alignment horizontal="right"/>
    </xf>
    <xf numFmtId="166" fontId="0" fillId="0" borderId="33" xfId="0" applyNumberFormat="1" applyFont="1" applyBorder="1" applyAlignment="1">
      <alignment horizontal="center"/>
    </xf>
    <xf numFmtId="166" fontId="0" fillId="0" borderId="33" xfId="0" applyNumberFormat="1" applyFont="1" applyBorder="1" applyAlignment="1">
      <alignment horizontal="left"/>
    </xf>
    <xf numFmtId="169" fontId="0" fillId="0" borderId="7" xfId="0" applyNumberFormat="1" applyBorder="1" applyAlignment="1">
      <alignment horizontal="right"/>
    </xf>
    <xf numFmtId="166" fontId="0" fillId="0" borderId="34" xfId="0" applyNumberFormat="1" applyBorder="1" applyAlignment="1">
      <alignment horizontal="center"/>
    </xf>
    <xf numFmtId="166" fontId="0" fillId="0" borderId="34" xfId="0" applyNumberFormat="1" applyBorder="1" applyAlignment="1">
      <alignment horizontal="left"/>
    </xf>
    <xf numFmtId="169" fontId="0" fillId="0" borderId="17" xfId="0" applyNumberFormat="1" applyBorder="1" applyAlignment="1">
      <alignment horizontal="right"/>
    </xf>
    <xf numFmtId="166" fontId="0" fillId="0" borderId="17" xfId="0" applyNumberFormat="1" applyBorder="1" applyAlignment="1">
      <alignment horizontal="center"/>
    </xf>
    <xf numFmtId="166" fontId="0" fillId="0" borderId="17" xfId="0" applyNumberFormat="1" applyBorder="1" applyAlignment="1">
      <alignment horizontal="left"/>
    </xf>
    <xf numFmtId="166" fontId="0" fillId="0" borderId="27" xfId="0" applyNumberFormat="1" applyFont="1" applyBorder="1" applyAlignment="1">
      <alignment horizontal="center"/>
    </xf>
    <xf numFmtId="166" fontId="0" fillId="0" borderId="27" xfId="0" applyNumberFormat="1" applyFont="1" applyBorder="1" applyAlignment="1">
      <alignment horizontal="left"/>
    </xf>
    <xf numFmtId="164" fontId="0" fillId="0" borderId="35" xfId="0" applyBorder="1" applyAlignment="1">
      <alignment/>
    </xf>
    <xf numFmtId="169" fontId="13" fillId="0" borderId="36" xfId="0" applyNumberFormat="1" applyFont="1" applyBorder="1" applyAlignment="1">
      <alignment/>
    </xf>
    <xf numFmtId="166" fontId="13" fillId="0" borderId="30" xfId="0" applyNumberFormat="1" applyFont="1" applyBorder="1" applyAlignment="1">
      <alignment horizontal="center"/>
    </xf>
    <xf numFmtId="169" fontId="0" fillId="0" borderId="37" xfId="0" applyNumberFormat="1" applyBorder="1" applyAlignment="1">
      <alignment horizontal="right"/>
    </xf>
    <xf numFmtId="169" fontId="13" fillId="0" borderId="28" xfId="0" applyNumberFormat="1" applyFont="1" applyBorder="1" applyAlignment="1">
      <alignment horizontal="right"/>
    </xf>
    <xf numFmtId="166" fontId="14" fillId="0" borderId="29" xfId="0" applyNumberFormat="1" applyFont="1" applyBorder="1" applyAlignment="1">
      <alignment horizontal="center"/>
    </xf>
    <xf numFmtId="166" fontId="13" fillId="0" borderId="33" xfId="0" applyNumberFormat="1" applyFont="1" applyBorder="1" applyAlignment="1">
      <alignment horizontal="center"/>
    </xf>
    <xf numFmtId="164" fontId="0" fillId="0" borderId="15" xfId="0" applyBorder="1" applyAlignment="1">
      <alignment/>
    </xf>
    <xf numFmtId="169" fontId="0" fillId="0" borderId="38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164" fontId="0" fillId="0" borderId="29" xfId="0" applyFont="1" applyBorder="1" applyAlignment="1">
      <alignment horizontal="center"/>
    </xf>
    <xf numFmtId="164" fontId="0" fillId="0" borderId="29" xfId="0" applyFont="1" applyBorder="1" applyAlignment="1">
      <alignment/>
    </xf>
    <xf numFmtId="164" fontId="0" fillId="0" borderId="39" xfId="0" applyFont="1" applyBorder="1" applyAlignment="1">
      <alignment/>
    </xf>
    <xf numFmtId="166" fontId="14" fillId="0" borderId="34" xfId="0" applyNumberFormat="1" applyFont="1" applyBorder="1" applyAlignment="1">
      <alignment horizontal="center"/>
    </xf>
    <xf numFmtId="169" fontId="0" fillId="0" borderId="40" xfId="0" applyNumberFormat="1" applyBorder="1" applyAlignment="1">
      <alignment horizontal="right"/>
    </xf>
    <xf numFmtId="164" fontId="12" fillId="0" borderId="0" xfId="0" applyFont="1" applyBorder="1" applyAlignment="1">
      <alignment horizontal="center"/>
    </xf>
    <xf numFmtId="164" fontId="15" fillId="3" borderId="41" xfId="0" applyFont="1" applyFill="1" applyBorder="1" applyAlignment="1">
      <alignment horizontal="center"/>
    </xf>
    <xf numFmtId="164" fontId="15" fillId="3" borderId="23" xfId="0" applyFont="1" applyFill="1" applyBorder="1" applyAlignment="1">
      <alignment/>
    </xf>
    <xf numFmtId="164" fontId="15" fillId="3" borderId="10" xfId="0" applyFont="1" applyFill="1" applyBorder="1" applyAlignment="1">
      <alignment horizontal="center"/>
    </xf>
    <xf numFmtId="164" fontId="0" fillId="0" borderId="16" xfId="0" applyFont="1" applyBorder="1" applyAlignment="1" applyProtection="1">
      <alignment horizontal="center"/>
      <protection locked="0"/>
    </xf>
    <xf numFmtId="164" fontId="0" fillId="0" borderId="7" xfId="0" applyFont="1" applyBorder="1" applyAlignment="1" applyProtection="1">
      <alignment horizontal="center"/>
      <protection locked="0"/>
    </xf>
    <xf numFmtId="164" fontId="0" fillId="0" borderId="1" xfId="0" applyFont="1" applyBorder="1" applyAlignment="1" applyProtection="1">
      <alignment/>
      <protection locked="0"/>
    </xf>
    <xf numFmtId="164" fontId="0" fillId="0" borderId="3" xfId="0" applyFont="1" applyFill="1" applyBorder="1" applyAlignment="1" applyProtection="1">
      <alignment/>
      <protection locked="0"/>
    </xf>
    <xf numFmtId="164" fontId="0" fillId="0" borderId="42" xfId="0" applyFont="1" applyBorder="1" applyAlignment="1" applyProtection="1">
      <alignment/>
      <protection locked="0"/>
    </xf>
    <xf numFmtId="174" fontId="0" fillId="0" borderId="42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16</xdr:col>
      <xdr:colOff>152400</xdr:colOff>
      <xdr:row>4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0"/>
          <a:ext cx="4457700" cy="1990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B5" sqref="B5"/>
    </sheetView>
  </sheetViews>
  <sheetFormatPr defaultColWidth="9.140625" defaultRowHeight="12.75"/>
  <cols>
    <col min="1" max="1" width="16.57421875" style="1" customWidth="1"/>
    <col min="2" max="2" width="9.28125" style="0" customWidth="1"/>
    <col min="3" max="3" width="0" style="2" hidden="1" customWidth="1"/>
    <col min="4" max="4" width="8.28125" style="0" customWidth="1"/>
    <col min="5" max="5" width="28.7109375" style="0" customWidth="1"/>
    <col min="6" max="8" width="25.7109375" style="0" customWidth="1"/>
    <col min="9" max="12" width="0" style="0" hidden="1" customWidth="1"/>
  </cols>
  <sheetData>
    <row r="1" spans="1:3" ht="12.75">
      <c r="A1" s="3" t="s">
        <v>0</v>
      </c>
      <c r="B1" s="4">
        <v>300</v>
      </c>
      <c r="C1" s="5">
        <f>IF(Brevet_Length&gt;=1200,Brevet_Length,IF(Brevet_Length&gt;=1000,1000,IF(Brevet_Length&gt;=600,600,IF(Brevet_Length&gt;=400,400,IF(Brevet_Length&gt;=300,300,IF(Brevet_Length&gt;=200,200,100))))))</f>
        <v>300</v>
      </c>
    </row>
    <row r="2" spans="1:2" ht="12.75">
      <c r="A2" s="6" t="s">
        <v>1</v>
      </c>
      <c r="B2" s="7">
        <f>IF(brevet=1200,90,IF(brevet&gt;=1000,75,IF(brevet&gt;=600,40,IF(brevet&gt;=400,27,IF(brevet&gt;=300,20,IF(brevet&gt;=200,13.5,IF(brevet&gt;=100,7,0)))))))</f>
        <v>20</v>
      </c>
    </row>
    <row r="3" spans="1:8" ht="12.75">
      <c r="A3" s="6" t="s">
        <v>2</v>
      </c>
      <c r="B3" s="8" t="s">
        <v>3</v>
      </c>
      <c r="C3" s="8"/>
      <c r="D3" s="8"/>
      <c r="E3" s="8"/>
      <c r="F3" s="8"/>
      <c r="G3" s="8"/>
      <c r="H3" s="8"/>
    </row>
    <row r="4" spans="1:8" ht="12.75">
      <c r="A4" s="6" t="s">
        <v>4</v>
      </c>
      <c r="B4" s="9" t="s">
        <v>5</v>
      </c>
      <c r="C4" s="10"/>
      <c r="D4" s="11"/>
      <c r="E4" s="11"/>
      <c r="F4" s="11"/>
      <c r="G4" s="11"/>
      <c r="H4" s="11"/>
    </row>
    <row r="5" spans="1:2" ht="12.75">
      <c r="A5" s="6" t="s">
        <v>6</v>
      </c>
      <c r="B5" s="12"/>
    </row>
    <row r="6" spans="1:2" ht="12.75">
      <c r="A6" s="13" t="s">
        <v>7</v>
      </c>
      <c r="B6" s="14">
        <v>0.2916666666666667</v>
      </c>
    </row>
    <row r="7" spans="4:8" ht="12.75">
      <c r="D7" s="15" t="s">
        <v>8</v>
      </c>
      <c r="E7" s="15"/>
      <c r="F7" s="15"/>
      <c r="G7" s="15"/>
      <c r="H7" s="15"/>
    </row>
    <row r="8" spans="4:8" ht="12.75" customHeight="1" hidden="1">
      <c r="D8" s="16"/>
      <c r="E8" s="16"/>
      <c r="F8" s="16"/>
      <c r="G8" s="16"/>
      <c r="H8" s="16"/>
    </row>
    <row r="9" spans="4:12" ht="12.75">
      <c r="D9" s="17" t="s">
        <v>9</v>
      </c>
      <c r="E9" s="18" t="s">
        <v>10</v>
      </c>
      <c r="F9" s="18" t="s">
        <v>11</v>
      </c>
      <c r="G9" s="18" t="s">
        <v>12</v>
      </c>
      <c r="H9" s="19" t="s">
        <v>13</v>
      </c>
      <c r="I9" t="s">
        <v>14</v>
      </c>
      <c r="J9" t="s">
        <v>15</v>
      </c>
      <c r="K9" t="s">
        <v>16</v>
      </c>
      <c r="L9" t="s">
        <v>17</v>
      </c>
    </row>
    <row r="10" spans="3:12" ht="12.75">
      <c r="C10" s="2" t="s">
        <v>18</v>
      </c>
      <c r="D10" s="20">
        <v>0</v>
      </c>
      <c r="E10" s="21" t="s">
        <v>19</v>
      </c>
      <c r="F10" s="22" t="s">
        <v>20</v>
      </c>
      <c r="G10" s="22" t="s">
        <v>21</v>
      </c>
      <c r="H10" s="23"/>
      <c r="I10" s="24">
        <f>Start_date+Start_time</f>
        <v>0.2916666666666667</v>
      </c>
      <c r="J10" s="24">
        <f>I10+"1:00"</f>
        <v>0.33333333333333337</v>
      </c>
      <c r="K10" s="25">
        <f>IF(ISBLANK(Distance),"",Open Control_1)</f>
        <v>0.2916666666666667</v>
      </c>
      <c r="L10" s="25">
        <f>IF(ISBLANK(Distance),"",Close Control_1)</f>
        <v>0.33333333333333337</v>
      </c>
    </row>
    <row r="11" spans="3:12" ht="12.75">
      <c r="C11" s="2" t="s">
        <v>22</v>
      </c>
      <c r="D11" s="20">
        <f>'VI0301A 010817'!F19</f>
        <v>56.2</v>
      </c>
      <c r="E11" s="21" t="s">
        <v>23</v>
      </c>
      <c r="F11" s="22" t="s">
        <v>24</v>
      </c>
      <c r="G11" s="22" t="s">
        <v>25</v>
      </c>
      <c r="H11" s="23"/>
      <c r="I11" s="5">
        <f>IF(ISBLANK(Distance),"",IF(Distance&gt;1000,(Distance-1000)/26+33.0847,(IF(Distance&gt;600,(Distance-600)/28+18.799,(IF(Distance&gt;400,(Distance-400)/30+12.1324,(IF(Distance&gt;200,(Distance-200)/32+5.8824,Distance/34))))))))</f>
        <v>1.6529411764705884</v>
      </c>
      <c r="J11" s="5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3.746666666666667</v>
      </c>
      <c r="K11" s="25">
        <f>IF(ISBLANK(Distance),"",Open_time Control_1+(INT(Open)&amp;":"&amp;IF(ROUND(((Open-INT(Open))*60),0)&lt;10,0,"")&amp;ROUND(((Open-INT(Open))*60),0)))</f>
        <v>0.3604166666666667</v>
      </c>
      <c r="L11" s="25">
        <f>IF(ISBLANK(Distance),"",Open_time Control_1+(INT(Close)&amp;":"&amp;IF(ROUND(((Close-INT(Close))*60),0)&lt;10,0,"")&amp;ROUND(((Close-INT(Close))*60),0)))</f>
        <v>0.4479166666666667</v>
      </c>
    </row>
    <row r="12" spans="3:12" ht="12.75">
      <c r="C12" s="2" t="s">
        <v>26</v>
      </c>
      <c r="D12" s="20">
        <f>'VI0301A 010817'!A46</f>
        <v>94.60000000000001</v>
      </c>
      <c r="E12" s="21" t="s">
        <v>27</v>
      </c>
      <c r="F12" s="22" t="s">
        <v>24</v>
      </c>
      <c r="G12" s="22" t="s">
        <v>28</v>
      </c>
      <c r="H12" s="23"/>
      <c r="I12" s="5">
        <f>IF(ISBLANK(Distance),"",IF(Distance&gt;1000,(Distance-1000)/26+33.0847,(IF(Distance&gt;600,(Distance-600)/28+18.799,(IF(Distance&gt;400,(Distance-400)/30+12.1324,(IF(Distance&gt;200,(Distance-200)/32+5.8824,Distance/34))))))))</f>
        <v>2.782352941176471</v>
      </c>
      <c r="J12" s="5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6.3066666666666675</v>
      </c>
      <c r="K12" s="25">
        <f>IF(ISBLANK(Distance),"",Open_time Control_1+(INT(Open)&amp;":"&amp;IF(ROUND(((Open-INT(Open))*60),0)&lt;10,0,"")&amp;ROUND(((Open-INT(Open))*60),0)))</f>
        <v>0.4076388888888889</v>
      </c>
      <c r="L12" s="25">
        <f>IF(ISBLANK(Distance),"",Open_time Control_1+(INT(Close)&amp;":"&amp;IF(ROUND(((Close-INT(Close))*60),0)&lt;10,0,"")&amp;ROUND(((Close-INT(Close))*60),0)))</f>
        <v>0.5541666666666667</v>
      </c>
    </row>
    <row r="13" spans="3:12" ht="12.75">
      <c r="C13" s="2" t="s">
        <v>29</v>
      </c>
      <c r="D13" s="20">
        <f>'VI0301A 010817'!F38</f>
        <v>137.20000000000002</v>
      </c>
      <c r="E13" s="21" t="s">
        <v>30</v>
      </c>
      <c r="F13" s="22" t="s">
        <v>24</v>
      </c>
      <c r="G13" s="22" t="s">
        <v>31</v>
      </c>
      <c r="H13" s="23"/>
      <c r="I13" s="5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4.03529411764706</v>
      </c>
      <c r="J13" s="5">
        <f t="shared" si="0"/>
        <v>9.146666666666668</v>
      </c>
      <c r="K13" s="25">
        <f>IF(ISBLANK(Distance),"",Open_time Control_1+(INT(Open)&amp;":"&amp;IF(ROUND(((Open-INT(Open))*60),0)&lt;10,0,"")&amp;ROUND(((Open-INT(Open))*60),0)))</f>
        <v>0.45972222222222225</v>
      </c>
      <c r="L13" s="25">
        <f>IF(ISBLANK(Distance),"",Open_time Control_1+(INT(Close)&amp;":"&amp;IF(ROUND(((Close-INT(Close))*60),0)&lt;10,0,"")&amp;ROUND(((Close-INT(Close))*60),0)))</f>
        <v>0.6729166666666666</v>
      </c>
    </row>
    <row r="14" spans="3:12" ht="12.75">
      <c r="C14" s="2" t="s">
        <v>32</v>
      </c>
      <c r="D14" s="20">
        <f>'VI0301A 010817'!A66</f>
        <v>181.60000000000002</v>
      </c>
      <c r="E14" s="21" t="s">
        <v>33</v>
      </c>
      <c r="F14" s="22" t="s">
        <v>24</v>
      </c>
      <c r="G14" s="22" t="s">
        <v>34</v>
      </c>
      <c r="H14" s="23"/>
      <c r="I14" s="5">
        <f t="shared" si="1"/>
        <v>5.341176470588236</v>
      </c>
      <c r="J14" s="5">
        <f t="shared" si="0"/>
        <v>12.106666666666667</v>
      </c>
      <c r="K14" s="25">
        <f>IF(ISBLANK(Distance),"",Open_time Control_1+(INT(Open)&amp;":"&amp;IF(ROUND(((Open-INT(Open))*60),0)&lt;10,0,"")&amp;ROUND(((Open-INT(Open))*60),0)))</f>
        <v>0.5138888888888888</v>
      </c>
      <c r="L14" s="25">
        <f>IF(ISBLANK(Distance),"",Open_time Control_1+(INT(Close)&amp;":"&amp;IF(ROUND(((Close-INT(Close))*60),0)&lt;10,0,"")&amp;ROUND(((Close-INT(Close))*60),0)))</f>
        <v>0.7958333333333334</v>
      </c>
    </row>
    <row r="15" spans="3:12" ht="12.75">
      <c r="C15" s="2" t="s">
        <v>35</v>
      </c>
      <c r="D15" s="20">
        <f>'VI0301A 010817'!F65</f>
        <v>231.20000000000002</v>
      </c>
      <c r="E15" s="21" t="s">
        <v>36</v>
      </c>
      <c r="F15" s="22" t="s">
        <v>37</v>
      </c>
      <c r="G15" s="22"/>
      <c r="H15" s="23"/>
      <c r="I15" s="5">
        <f t="shared" si="1"/>
        <v>6.8574</v>
      </c>
      <c r="J15" s="5">
        <f t="shared" si="0"/>
        <v>15.413333333333334</v>
      </c>
      <c r="K15" s="25">
        <f>IF(ISBLANK(Distance),"",Open_time Control_1+(INT(Open)&amp;":"&amp;IF(ROUND(((Open-INT(Open))*60),0)&lt;10,0,"")&amp;ROUND(((Open-INT(Open))*60),0)))</f>
        <v>0.5770833333333334</v>
      </c>
      <c r="L15" s="25">
        <f>IF(ISBLANK(Distance),"",Open_time Control_1+(INT(Close)&amp;":"&amp;IF(ROUND(((Close-INT(Close))*60),0)&lt;10,0,"")&amp;ROUND(((Close-INT(Close))*60),0)))</f>
        <v>0.9340277777777779</v>
      </c>
    </row>
    <row r="16" spans="3:12" ht="12.75">
      <c r="C16" s="2" t="s">
        <v>38</v>
      </c>
      <c r="D16" s="20">
        <f>'VI0301A 010817'!F74</f>
        <v>312.0999999999999</v>
      </c>
      <c r="E16" s="21" t="s">
        <v>19</v>
      </c>
      <c r="F16" s="22" t="s">
        <v>20</v>
      </c>
      <c r="G16" s="22" t="s">
        <v>21</v>
      </c>
      <c r="H16" s="23"/>
      <c r="I16" s="5">
        <f t="shared" si="1"/>
        <v>9.385524999999998</v>
      </c>
      <c r="J16" s="5">
        <f t="shared" si="0"/>
        <v>20</v>
      </c>
      <c r="K16" s="25">
        <f>IF(ISBLANK(Distance),"",Open_time Control_1+(INT(Open)&amp;":"&amp;IF(ROUND(((Open-INT(Open))*60),0)&lt;10,0,"")&amp;ROUND(((Open-INT(Open))*60),0)))</f>
        <v>0.6826388888888889</v>
      </c>
      <c r="L16" s="25">
        <f>IF(ISBLANK(Distance),"",Open_time Control_1+(INT(Close)&amp;":"&amp;IF(ROUND(((Close-INT(Close))*60),0)&lt;10,0,"")&amp;ROUND(((Close-INT(Close))*60),0)))</f>
        <v>1.125</v>
      </c>
    </row>
    <row r="17" spans="3:12" ht="12.75">
      <c r="C17" s="2" t="s">
        <v>39</v>
      </c>
      <c r="D17" s="20"/>
      <c r="E17" s="21"/>
      <c r="F17" s="22"/>
      <c r="G17" s="22"/>
      <c r="H17" s="23"/>
      <c r="I17">
        <f t="shared" si="1"/>
      </c>
      <c r="J17">
        <f t="shared" si="0"/>
      </c>
      <c r="K17" s="25">
        <f>IF(ISBLANK(Distance),"",Open_time Control_1+(INT(Open)&amp;":"&amp;IF(ROUND(((Open-INT(Open))*60),0)&lt;10,0,"")&amp;ROUND(((Open-INT(Open))*60),0)))</f>
      </c>
      <c r="L17" s="25">
        <f>IF(ISBLANK(Distance),"",Open_time Control_1+(INT(Close)&amp;":"&amp;IF(ROUND(((Close-INT(Close))*60),0)&lt;10,0,"")&amp;ROUND(((Close-INT(Close))*60),0)))</f>
      </c>
    </row>
    <row r="18" spans="3:12" ht="12.75">
      <c r="C18" s="2" t="s">
        <v>40</v>
      </c>
      <c r="D18" s="20"/>
      <c r="E18" s="21" t="s">
        <v>41</v>
      </c>
      <c r="F18" s="22"/>
      <c r="G18" s="22"/>
      <c r="H18" s="23"/>
      <c r="I18">
        <f t="shared" si="1"/>
      </c>
      <c r="J18">
        <f t="shared" si="0"/>
      </c>
      <c r="K18" s="25">
        <f>IF(ISBLANK(Distance),"",Open_time Control_1+(INT(Open)&amp;":"&amp;IF(ROUND(((Open-INT(Open))*60),0)&lt;10,0,"")&amp;ROUND(((Open-INT(Open))*60),0)))</f>
      </c>
      <c r="L18" s="25">
        <f>IF(ISBLANK(Distance),"",Open_time Control_1+(INT(Close)&amp;":"&amp;IF(ROUND(((Close-INT(Close))*60),0)&lt;10,0,"")&amp;ROUND(((Close-INT(Close))*60),0)))</f>
      </c>
    </row>
    <row r="19" spans="3:12" ht="12.75">
      <c r="C19" s="2" t="s">
        <v>42</v>
      </c>
      <c r="D19" s="20"/>
      <c r="E19" s="21" t="s">
        <v>41</v>
      </c>
      <c r="F19" s="22"/>
      <c r="G19" s="22"/>
      <c r="H19" s="23"/>
      <c r="I19">
        <f t="shared" si="1"/>
      </c>
      <c r="J19">
        <f t="shared" si="0"/>
      </c>
      <c r="K19" s="25">
        <f>IF(ISBLANK(Distance),"",Open_time Control_1+(INT(Open)&amp;":"&amp;IF(ROUND(((Open-INT(Open))*60),0)&lt;10,0,"")&amp;ROUND(((Open-INT(Open))*60),0)))</f>
      </c>
      <c r="L19" s="25">
        <f>IF(ISBLANK(Distance),"",Open_time Control_1+(INT(Close)&amp;":"&amp;IF(ROUND(((Close-INT(Close))*60),0)&lt;10,0,"")&amp;ROUND(((Close-INT(Close))*60),0)))</f>
      </c>
    </row>
    <row r="20" spans="3:12" ht="12.75">
      <c r="C20" s="2" t="s">
        <v>43</v>
      </c>
      <c r="D20" s="26"/>
      <c r="E20" s="21"/>
      <c r="F20" s="22"/>
      <c r="G20" s="22"/>
      <c r="H20" s="23"/>
      <c r="I20">
        <f t="shared" si="1"/>
      </c>
      <c r="J20">
        <f t="shared" si="0"/>
      </c>
      <c r="K20" s="25">
        <f>IF(ISBLANK(Distance),"",Open_time Control_1+(INT(Open)&amp;":"&amp;IF(ROUND(((Open-INT(Open))*60),0)&lt;10,0,"")&amp;ROUND(((Open-INT(Open))*60),0)))</f>
      </c>
      <c r="L20" s="25">
        <f>IF(ISBLANK(Distance),"",Open_time Control_1+(INT(Close)&amp;":"&amp;IF(ROUND(((Close-INT(Close))*60),0)&lt;10,0,"")&amp;ROUND(((Close-INT(Close))*60),0)))</f>
      </c>
    </row>
    <row r="21" spans="3:12" ht="12.75">
      <c r="C21" s="2" t="s">
        <v>44</v>
      </c>
      <c r="D21" s="26"/>
      <c r="E21" s="21"/>
      <c r="F21" s="22"/>
      <c r="G21" s="22"/>
      <c r="H21" s="23"/>
      <c r="I21">
        <f t="shared" si="1"/>
      </c>
      <c r="J21">
        <f t="shared" si="0"/>
      </c>
      <c r="K21" s="25">
        <f>IF(ISBLANK(Distance),"",Open_time Control_1+(INT(Open)&amp;":"&amp;IF(ROUND(((Open-INT(Open))*60),0)&lt;10,0,"")&amp;ROUND(((Open-INT(Open))*60),0)))</f>
      </c>
      <c r="L21" s="25">
        <f>IF(ISBLANK(Distance),"",Open_time Control_1+(INT(Close)&amp;":"&amp;IF(ROUND(((Close-INT(Close))*60),0)&lt;10,0,"")&amp;ROUND(((Close-INT(Close))*60),0)))</f>
      </c>
    </row>
    <row r="22" spans="3:12" ht="12.75">
      <c r="C22" s="2" t="s">
        <v>45</v>
      </c>
      <c r="D22" s="26"/>
      <c r="E22" s="21"/>
      <c r="F22" s="22"/>
      <c r="G22" s="22"/>
      <c r="H22" s="23"/>
      <c r="I22">
        <f t="shared" si="1"/>
      </c>
      <c r="J22">
        <f t="shared" si="0"/>
      </c>
      <c r="K22" s="25">
        <f>IF(ISBLANK(Distance),"",Open_time Control_1+(INT(Open)&amp;":"&amp;IF(ROUND(((Open-INT(Open))*60),0)&lt;10,0,"")&amp;ROUND(((Open-INT(Open))*60),0)))</f>
      </c>
      <c r="L22" s="25">
        <f>IF(ISBLANK(Distance),"",Open_time Control_1+(INT(Close)&amp;":"&amp;IF(ROUND(((Close-INT(Close))*60),0)&lt;10,0,"")&amp;ROUND(((Close-INT(Close))*60),0)))</f>
      </c>
    </row>
    <row r="23" spans="3:12" ht="12.75">
      <c r="C23" s="2" t="s">
        <v>46</v>
      </c>
      <c r="D23" s="26"/>
      <c r="E23" s="21"/>
      <c r="F23" s="22"/>
      <c r="G23" s="22"/>
      <c r="H23" s="23"/>
      <c r="I23">
        <f t="shared" si="1"/>
      </c>
      <c r="J23">
        <f t="shared" si="0"/>
      </c>
      <c r="K23" s="25">
        <f>IF(ISBLANK(Distance),"",Open_time Control_1+(INT(Open)&amp;":"&amp;IF(ROUND(((Open-INT(Open))*60),0)&lt;10,0,"")&amp;ROUND(((Open-INT(Open))*60),0)))</f>
      </c>
      <c r="L23" s="25">
        <f>IF(ISBLANK(Distance),"",Open_time Control_1+(INT(Close)&amp;":"&amp;IF(ROUND(((Close-INT(Close))*60),0)&lt;10,0,"")&amp;ROUND(((Close-INT(Close))*60),0)))</f>
      </c>
    </row>
    <row r="24" spans="3:12" ht="12.75">
      <c r="C24" s="2" t="s">
        <v>47</v>
      </c>
      <c r="D24" s="26"/>
      <c r="E24" s="21"/>
      <c r="F24" s="22"/>
      <c r="G24" s="22"/>
      <c r="H24" s="23"/>
      <c r="I24">
        <f t="shared" si="1"/>
      </c>
      <c r="J24">
        <f t="shared" si="0"/>
      </c>
      <c r="K24" s="25">
        <f>IF(ISBLANK(Distance),"",Open_time Control_1+(INT(Open)&amp;":"&amp;IF(ROUND(((Open-INT(Open))*60),0)&lt;10,0,"")&amp;ROUND(((Open-INT(Open))*60),0)))</f>
      </c>
      <c r="L24" s="25">
        <f>IF(ISBLANK(Distance),"",Open_time Control_1+(INT(Close)&amp;":"&amp;IF(ROUND(((Close-INT(Close))*60),0)&lt;10,0,"")&amp;ROUND(((Close-INT(Close))*60),0)))</f>
      </c>
    </row>
    <row r="25" spans="3:12" ht="12.75">
      <c r="C25" s="2" t="s">
        <v>48</v>
      </c>
      <c r="D25" s="26"/>
      <c r="E25" s="21"/>
      <c r="F25" s="22"/>
      <c r="G25" s="22"/>
      <c r="H25" s="23"/>
      <c r="I25">
        <f t="shared" si="1"/>
      </c>
      <c r="J25">
        <f t="shared" si="0"/>
      </c>
      <c r="K25" s="25">
        <f>IF(ISBLANK(Distance),"",Open_time Control_1+(INT(Open)&amp;":"&amp;IF(ROUND(((Open-INT(Open))*60),0)&lt;10,0,"")&amp;ROUND(((Open-INT(Open))*60),0)))</f>
      </c>
      <c r="L25" s="25">
        <f>IF(ISBLANK(Distance),"",Open_time Control_1+(INT(Close)&amp;":"&amp;IF(ROUND(((Close-INT(Close))*60),0)&lt;10,0,"")&amp;ROUND(((Close-INT(Close))*60),0)))</f>
      </c>
    </row>
    <row r="26" spans="3:12" ht="12.75">
      <c r="C26" s="2" t="s">
        <v>49</v>
      </c>
      <c r="D26" s="26"/>
      <c r="E26" s="21"/>
      <c r="F26" s="22"/>
      <c r="G26" s="22"/>
      <c r="H26" s="23"/>
      <c r="I26">
        <f t="shared" si="1"/>
      </c>
      <c r="J26">
        <f t="shared" si="0"/>
      </c>
      <c r="K26" s="25">
        <f>IF(ISBLANK(Distance),"",Open_time Control_1+(INT(Open)&amp;":"&amp;IF(ROUND(((Open-INT(Open))*60),0)&lt;10,0,"")&amp;ROUND(((Open-INT(Open))*60),0)))</f>
      </c>
      <c r="L26" s="25">
        <f>IF(ISBLANK(Distance),"",Open_time Control_1+(INT(Close)&amp;":"&amp;IF(ROUND(((Close-INT(Close))*60),0)&lt;10,0,"")&amp;ROUND(((Close-INT(Close))*60),0)))</f>
      </c>
    </row>
    <row r="27" spans="3:12" ht="12.75">
      <c r="C27" s="2" t="s">
        <v>50</v>
      </c>
      <c r="D27" s="26"/>
      <c r="E27" s="21"/>
      <c r="F27" s="22"/>
      <c r="G27" s="22"/>
      <c r="H27" s="23"/>
      <c r="I27">
        <f t="shared" si="1"/>
      </c>
      <c r="J27">
        <f t="shared" si="0"/>
      </c>
      <c r="K27" s="25">
        <f>IF(ISBLANK(Distance),"",Open_time Control_1+(INT(Open)&amp;":"&amp;IF(ROUND(((Open-INT(Open))*60),0)&lt;10,0,"")&amp;ROUND(((Open-INT(Open))*60),0)))</f>
      </c>
      <c r="L27" s="25">
        <f>IF(ISBLANK(Distance),"",Open_time Control_1+(INT(Close)&amp;":"&amp;IF(ROUND(((Close-INT(Close))*60),0)&lt;10,0,"")&amp;ROUND(((Close-INT(Close))*60),0)))</f>
      </c>
    </row>
    <row r="28" spans="3:12" ht="12.75">
      <c r="C28" s="2" t="s">
        <v>51</v>
      </c>
      <c r="D28" s="26"/>
      <c r="E28" s="21"/>
      <c r="F28" s="22"/>
      <c r="G28" s="22"/>
      <c r="H28" s="23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25">
        <f>IF(ISBLANK(Distance),"",Open_time Control_1+(INT(Open)&amp;":"&amp;IF(ROUND(((Open-INT(Open))*60),0)&lt;10,0,"")&amp;ROUND(((Open-INT(Open))*60),0)))</f>
      </c>
      <c r="L28" s="25">
        <f>IF(ISBLANK(Distance),"",Open_time Control_1+(INT(Close)&amp;":"&amp;IF(ROUND(((Close-INT(Close))*60),0)&lt;10,0,"")&amp;ROUND(((Close-INT(Close))*60),0)))</f>
      </c>
    </row>
    <row r="29" spans="3:12" ht="12.75">
      <c r="C29" s="2" t="s">
        <v>52</v>
      </c>
      <c r="D29" s="27"/>
      <c r="E29" s="28"/>
      <c r="F29" s="29"/>
      <c r="G29" s="29"/>
      <c r="H29" s="30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25">
        <f>IF(ISBLANK(Distance),"",Open_time Control_1+(INT(Open)&amp;":"&amp;IF(ROUND(((Open-INT(Open))*60),0)&lt;10,0,"")&amp;ROUND(((Open-INT(Open))*60),0)))</f>
      </c>
      <c r="L29" s="25">
        <f>IF(ISBLANK(Distance),"",Open_time Control_1+(INT(Close)&amp;":"&amp;IF(ROUND(((Close-INT(Close))*60),0)&lt;10,0,"")&amp;ROUND(((Close-INT(Close))*60),0)))</f>
      </c>
    </row>
  </sheetData>
  <sheetProtection selectLockedCells="1" selectUnlockedCells="1"/>
  <mergeCells count="2">
    <mergeCell ref="B3:H3"/>
    <mergeCell ref="D7:H7"/>
  </mergeCell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selection activeCell="F1" sqref="F1"/>
    </sheetView>
  </sheetViews>
  <sheetFormatPr defaultColWidth="9.140625" defaultRowHeight="12.75"/>
  <cols>
    <col min="1" max="1" width="9.28125" style="0" customWidth="1"/>
    <col min="2" max="3" width="12.421875" style="0" customWidth="1"/>
    <col min="4" max="4" width="19.28125" style="0" customWidth="1"/>
    <col min="5" max="5" width="24.421875" style="0" customWidth="1"/>
    <col min="6" max="6" width="42.7109375" style="0" customWidth="1"/>
    <col min="7" max="7" width="13.421875" style="0" customWidth="1"/>
  </cols>
  <sheetData>
    <row r="1" spans="1:8" ht="19.5">
      <c r="A1" s="31" t="s">
        <v>53</v>
      </c>
      <c r="B1" s="31"/>
      <c r="C1" s="31"/>
      <c r="D1" s="31"/>
      <c r="E1" s="31"/>
      <c r="F1" s="31"/>
      <c r="G1" s="31"/>
      <c r="H1" s="11" t="s">
        <v>54</v>
      </c>
    </row>
    <row r="2" spans="1:14" ht="33.75">
      <c r="A2" s="32" t="s">
        <v>55</v>
      </c>
      <c r="B2" s="33" t="s">
        <v>14</v>
      </c>
      <c r="C2" s="33" t="s">
        <v>15</v>
      </c>
      <c r="D2" s="33" t="s">
        <v>10</v>
      </c>
      <c r="E2" s="33" t="s">
        <v>56</v>
      </c>
      <c r="F2" s="33" t="s">
        <v>57</v>
      </c>
      <c r="G2" s="32" t="s">
        <v>58</v>
      </c>
      <c r="H2" s="11" t="s">
        <v>54</v>
      </c>
      <c r="N2" s="34"/>
    </row>
    <row r="3" spans="1:14" ht="36" customHeight="1">
      <c r="A3" s="35"/>
      <c r="B3" s="36">
        <f>Control_1 Open_time</f>
        <v>0.2916666666666667</v>
      </c>
      <c r="C3" s="36">
        <f>Control_1 Close_time</f>
        <v>0.33333333333333337</v>
      </c>
      <c r="D3" s="37"/>
      <c r="E3" s="38">
        <f>IF(ISBLANK(Control_1 Establishment_1),"",Control_1 Establishment_1)</f>
        <v>0</v>
      </c>
      <c r="F3" s="39"/>
      <c r="G3" s="40"/>
      <c r="H3" s="11" t="s">
        <v>54</v>
      </c>
      <c r="K3" s="41"/>
      <c r="N3" s="34"/>
    </row>
    <row r="4" spans="1:14" ht="36" customHeight="1">
      <c r="A4" s="42">
        <f>IF(ISBLANK(Distance Control_1),"",Control_1 Distance)</f>
        <v>0</v>
      </c>
      <c r="B4" s="43">
        <f>Control_1 Open_time</f>
        <v>0.2916666666666667</v>
      </c>
      <c r="C4" s="43">
        <f>Control_1 Close_time</f>
        <v>0.33333333333333337</v>
      </c>
      <c r="D4" s="44">
        <f>IF(ISBLANK(Locale Control_1),"",Locale Control_1)</f>
        <v>0</v>
      </c>
      <c r="E4" s="38">
        <f>IF(ISBLANK(Control_1 Establishment_2),"",Control_1 Establishment_2)</f>
        <v>0</v>
      </c>
      <c r="F4" s="39"/>
      <c r="G4" s="40"/>
      <c r="H4" s="11" t="s">
        <v>54</v>
      </c>
      <c r="K4" s="41"/>
      <c r="N4" s="34"/>
    </row>
    <row r="5" spans="1:11" ht="36" customHeight="1">
      <c r="A5" s="45"/>
      <c r="B5" s="46">
        <f>Control_1 Open_time</f>
        <v>0.2916666666666667</v>
      </c>
      <c r="C5" s="46">
        <f>Control_1 Close_time</f>
        <v>0.33333333333333337</v>
      </c>
      <c r="D5" s="47"/>
      <c r="E5" s="48">
        <f>IF(ISBLANK(Control_1 Establishment_3),"",Control_1 Establishment_3)</f>
        <v>0</v>
      </c>
      <c r="F5" s="49"/>
      <c r="G5" s="50"/>
      <c r="H5" s="11" t="s">
        <v>54</v>
      </c>
      <c r="K5" s="41"/>
    </row>
    <row r="6" spans="1:11" ht="36" customHeight="1">
      <c r="A6" s="35"/>
      <c r="B6" s="36">
        <f>Control_2 Open_time</f>
        <v>0.3604166666666667</v>
      </c>
      <c r="C6" s="36">
        <f>Control_2 Close_time</f>
        <v>0.4479166666666667</v>
      </c>
      <c r="D6" s="51"/>
      <c r="E6" s="38">
        <f>IF(ISBLANK(Control_2 Establishment_1),"",Control_2 Establishment_1)</f>
        <v>0</v>
      </c>
      <c r="F6" s="39"/>
      <c r="G6" s="40"/>
      <c r="H6" s="11" t="s">
        <v>54</v>
      </c>
      <c r="K6" s="41"/>
    </row>
    <row r="7" spans="1:11" ht="36" customHeight="1">
      <c r="A7" s="42">
        <f>IF(ISBLANK(Distance Control_2),"",Control_2 Distance)</f>
        <v>56.2</v>
      </c>
      <c r="B7" s="43">
        <f>Control_2 Open_time</f>
        <v>0.3604166666666667</v>
      </c>
      <c r="C7" s="43">
        <f>Control_2 Close_time</f>
        <v>0.4479166666666667</v>
      </c>
      <c r="D7" s="44">
        <f>IF(ISBLANK(Locale Control_2),"",Locale Control_2)</f>
        <v>0</v>
      </c>
      <c r="E7" s="38">
        <f>IF(ISBLANK(Control_2 Establishment_2),"",Control_2 Establishment_2)</f>
        <v>0</v>
      </c>
      <c r="F7" s="39"/>
      <c r="G7" s="40"/>
      <c r="H7" s="11" t="s">
        <v>54</v>
      </c>
      <c r="K7" s="41"/>
    </row>
    <row r="8" spans="1:20" ht="36" customHeight="1">
      <c r="A8" s="45"/>
      <c r="B8" s="46">
        <f>Control_2 Open_time</f>
        <v>0.3604166666666667</v>
      </c>
      <c r="C8" s="46">
        <f>Control_2 Close_time</f>
        <v>0.4479166666666667</v>
      </c>
      <c r="D8" s="47"/>
      <c r="E8" s="48">
        <f>IF(ISBLANK(Control_2 Establishment_3),"",Control_2 Establishment_3)</f>
        <v>0</v>
      </c>
      <c r="F8" s="49"/>
      <c r="G8" s="50"/>
      <c r="H8" s="11" t="s">
        <v>54</v>
      </c>
      <c r="J8" s="52" t="s">
        <v>59</v>
      </c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19" ht="36" customHeight="1">
      <c r="A9" s="35"/>
      <c r="B9" s="36">
        <f>Control_3 Open_time</f>
        <v>0.4076388888888889</v>
      </c>
      <c r="C9" s="36">
        <f>Control_3 Close_time</f>
        <v>0.5541666666666667</v>
      </c>
      <c r="D9" s="51"/>
      <c r="E9" s="38">
        <f>IF(ISBLANK(Control_3 Establishment_1),"",Control_3 Establishment_1)</f>
        <v>0</v>
      </c>
      <c r="F9" s="39"/>
      <c r="G9" s="40"/>
      <c r="H9" s="11" t="s">
        <v>54</v>
      </c>
      <c r="J9" s="53">
        <f>IF(ISBLANK(brevet),"",brevet&amp;" km Randonnée")</f>
        <v>0</v>
      </c>
      <c r="K9" s="53"/>
      <c r="L9" s="53"/>
      <c r="M9" s="53"/>
      <c r="N9" s="53"/>
      <c r="O9" s="53"/>
      <c r="P9" s="53"/>
      <c r="Q9" s="53"/>
      <c r="R9" s="53"/>
      <c r="S9" s="53"/>
    </row>
    <row r="10" spans="1:20" ht="36" customHeight="1">
      <c r="A10" s="42">
        <f>IF(ISBLANK(Distance Control_3),"",Control_3 Distance)</f>
        <v>94.60000000000001</v>
      </c>
      <c r="B10" s="43">
        <f>Control_3 Open_time</f>
        <v>0.4076388888888889</v>
      </c>
      <c r="C10" s="43">
        <f>Control_3 Close_time</f>
        <v>0.5541666666666667</v>
      </c>
      <c r="D10" s="44">
        <f>IF(ISBLANK(Locale Control_3),"",Locale Control_3)</f>
        <v>0</v>
      </c>
      <c r="E10" s="38">
        <f>IF(ISBLANK(Control_3 Establishment_2),"",Control_3 Establishment_2)</f>
        <v>0</v>
      </c>
      <c r="F10" s="39"/>
      <c r="G10" s="40"/>
      <c r="H10" s="11" t="s">
        <v>54</v>
      </c>
      <c r="J10" s="54">
        <f>IF(ISBLANK(Brevet_Description),"",Brevet_Description)</f>
        <v>0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0" ht="36" customHeight="1">
      <c r="A11" s="45"/>
      <c r="B11" s="46">
        <f>Control_3 Open_time</f>
        <v>0.4076388888888889</v>
      </c>
      <c r="C11" s="46">
        <f>Control_3 Close_time</f>
        <v>0.5541666666666667</v>
      </c>
      <c r="D11" s="47"/>
      <c r="E11" s="48">
        <f>IF(ISBLANK(Control_3 Establishment_3),"",Control_3 Establishment_3)</f>
        <v>0</v>
      </c>
      <c r="F11" s="49"/>
      <c r="G11" s="50"/>
      <c r="H11" s="11" t="s">
        <v>54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36" customHeight="1">
      <c r="A12" s="35"/>
      <c r="B12" s="36">
        <f>Control_4 Open_time</f>
        <v>0.45972222222222225</v>
      </c>
      <c r="C12" s="36">
        <f>Control_4 Close_time</f>
        <v>0.6729166666666666</v>
      </c>
      <c r="D12" s="51"/>
      <c r="E12" s="38">
        <f>IF(ISBLANK(Control_4 Establishment_1),"",Control_4 Establishment_1)</f>
        <v>0</v>
      </c>
      <c r="F12" s="39"/>
      <c r="G12" s="40"/>
      <c r="H12" s="11" t="s">
        <v>54</v>
      </c>
      <c r="J12" s="56" t="s">
        <v>60</v>
      </c>
      <c r="L12" s="57" t="str">
        <f>IF(ISBLANK(surname),"",First_Name&amp;" "&amp;Initial&amp;" "&amp;surname)</f>
        <v>  </v>
      </c>
      <c r="M12" s="58"/>
      <c r="N12" s="58"/>
      <c r="O12" s="58"/>
      <c r="P12" s="58"/>
      <c r="Q12" s="58"/>
      <c r="R12" s="58"/>
      <c r="S12" s="58"/>
      <c r="T12" s="59"/>
    </row>
    <row r="13" spans="1:20" ht="36" customHeight="1">
      <c r="A13" s="42">
        <f>IF(ISBLANK(Distance Control_4),"",Control_4 Distance)</f>
        <v>137.20000000000002</v>
      </c>
      <c r="B13" s="43">
        <f>Control_4 Open_time</f>
        <v>0.45972222222222225</v>
      </c>
      <c r="C13" s="43">
        <f>Control_4 Close_time</f>
        <v>0.6729166666666666</v>
      </c>
      <c r="D13" s="44">
        <f>IF(ISBLANK(Locale Control_4),"",Locale Control_4)</f>
        <v>0</v>
      </c>
      <c r="E13" s="38">
        <f>IF(ISBLANK(Control_4 Establishment_2),"",Control_4 Establishment_2)</f>
        <v>0</v>
      </c>
      <c r="F13" s="39"/>
      <c r="G13" s="40"/>
      <c r="H13" s="11" t="s">
        <v>54</v>
      </c>
      <c r="J13" s="56" t="s">
        <v>61</v>
      </c>
      <c r="K13" s="56"/>
      <c r="L13" s="60">
        <f>IF(ISBLANK(Address_1),"",Address_1)</f>
      </c>
      <c r="M13" s="61"/>
      <c r="N13" s="61"/>
      <c r="O13" s="61"/>
      <c r="P13" s="61"/>
      <c r="Q13" s="61"/>
      <c r="R13" s="61"/>
      <c r="S13" s="61"/>
      <c r="T13" s="62"/>
    </row>
    <row r="14" spans="1:20" ht="36" customHeight="1">
      <c r="A14" s="45"/>
      <c r="B14" s="46">
        <f>Control_4 Open_time</f>
        <v>0.45972222222222225</v>
      </c>
      <c r="C14" s="46">
        <f>Control_4 Close_time</f>
        <v>0.6729166666666666</v>
      </c>
      <c r="D14" s="47"/>
      <c r="E14" s="48">
        <f>IF(ISBLANK(Control_4 Establishment_3),"",Control_4 Establishment_3)</f>
        <v>0</v>
      </c>
      <c r="F14" s="49"/>
      <c r="G14" s="50"/>
      <c r="H14" s="11" t="s">
        <v>54</v>
      </c>
      <c r="J14" s="56"/>
      <c r="K14" s="56"/>
      <c r="L14" s="60">
        <f>IF(ISBLANK(Address_2),"",Address_2)</f>
      </c>
      <c r="M14" s="61"/>
      <c r="N14" s="61"/>
      <c r="O14" s="61"/>
      <c r="P14" s="61"/>
      <c r="Q14" s="61"/>
      <c r="R14" s="61"/>
      <c r="S14" s="61"/>
      <c r="T14" s="62"/>
    </row>
    <row r="15" spans="1:20" ht="36" customHeight="1">
      <c r="A15" s="35"/>
      <c r="B15" s="36">
        <f>Control_5 Open_time</f>
        <v>0.5138888888888888</v>
      </c>
      <c r="C15" s="36">
        <f>Control_5 Close_time</f>
        <v>0.7958333333333334</v>
      </c>
      <c r="D15" s="51"/>
      <c r="E15" s="38">
        <f>IF(ISBLANK(Control_5 Establishment_1),"",Control_5 Establishment_1)</f>
        <v>0</v>
      </c>
      <c r="F15" s="39"/>
      <c r="G15" s="40"/>
      <c r="H15" s="11" t="s">
        <v>54</v>
      </c>
      <c r="J15" s="56" t="s">
        <v>62</v>
      </c>
      <c r="K15" s="56"/>
      <c r="L15" s="60">
        <f>IF(ISBLANK(City),"",City)</f>
      </c>
      <c r="M15" s="61"/>
      <c r="N15" s="61"/>
      <c r="O15" s="63"/>
      <c r="P15" s="63" t="s">
        <v>63</v>
      </c>
      <c r="Q15" s="63"/>
      <c r="R15" s="63"/>
      <c r="S15" s="60">
        <f>IF(ISBLANK(Province_State),"",Province_State)</f>
      </c>
      <c r="T15" s="62"/>
    </row>
    <row r="16" spans="1:20" ht="36" customHeight="1">
      <c r="A16" s="64">
        <f>IF(ISBLANK(Distance Control_5),"",Control_5 Distance)</f>
        <v>181.60000000000002</v>
      </c>
      <c r="B16" s="65">
        <f>Control_5 Open_time</f>
        <v>0.5138888888888888</v>
      </c>
      <c r="C16" s="65">
        <f>Control_5 Close_time</f>
        <v>0.7958333333333334</v>
      </c>
      <c r="D16" s="38">
        <f>IF(ISBLANK(Locale Control_5),"",Locale Control_5)</f>
        <v>0</v>
      </c>
      <c r="E16" s="38">
        <f>IF(ISBLANK(Control_5 Establishment_2),"",Control_5 Establishment_2)</f>
        <v>0</v>
      </c>
      <c r="F16" s="39"/>
      <c r="G16" s="40"/>
      <c r="H16" s="11" t="s">
        <v>54</v>
      </c>
      <c r="J16" s="56" t="s">
        <v>64</v>
      </c>
      <c r="K16" s="56"/>
      <c r="L16" s="60">
        <f>IF(ISBLANK(Country),"",Country)</f>
      </c>
      <c r="M16" s="61"/>
      <c r="N16" s="61"/>
      <c r="O16" s="63"/>
      <c r="P16" s="63" t="s">
        <v>65</v>
      </c>
      <c r="Q16" s="63"/>
      <c r="R16" s="63"/>
      <c r="S16" s="60">
        <f>IF(ISBLANK(Postal_Code),"",Postal_Code)</f>
      </c>
      <c r="T16" s="62"/>
    </row>
    <row r="17" spans="1:19" ht="36" customHeight="1">
      <c r="A17" s="45"/>
      <c r="B17" s="46">
        <f>Control_5 Open_time</f>
        <v>0.5138888888888888</v>
      </c>
      <c r="C17" s="46">
        <f>Control_5 Close_time</f>
        <v>0.7958333333333334</v>
      </c>
      <c r="D17" s="47"/>
      <c r="E17" s="48">
        <f>IF(ISBLANK(Control_5 Establishment_3),"",Control_5 Establishment_3)</f>
        <v>0</v>
      </c>
      <c r="F17" s="49"/>
      <c r="G17" s="50"/>
      <c r="H17" s="11" t="s">
        <v>54</v>
      </c>
      <c r="L17" s="66"/>
      <c r="M17" s="66"/>
      <c r="N17" s="66"/>
      <c r="O17" s="66"/>
      <c r="P17" s="66"/>
      <c r="Q17" s="66"/>
      <c r="R17" s="66"/>
      <c r="S17" s="66"/>
    </row>
    <row r="18" spans="1:20" ht="36" customHeight="1">
      <c r="A18" s="35"/>
      <c r="B18" s="36">
        <f>Control_6 Open_time</f>
        <v>0.5770833333333334</v>
      </c>
      <c r="C18" s="36">
        <f>Control_6 Close_time</f>
        <v>0.9340277777777779</v>
      </c>
      <c r="D18" s="51"/>
      <c r="E18" s="38">
        <f>IF(ISBLANK(Control_6 Establishment_1),"",Control_6 Establishment_1)</f>
        <v>0</v>
      </c>
      <c r="F18" s="39"/>
      <c r="G18" s="40"/>
      <c r="H18" s="11" t="s">
        <v>54</v>
      </c>
      <c r="J18" s="56" t="s">
        <v>66</v>
      </c>
      <c r="L18" s="67">
        <f>IF(ISBLANK(Home_telephone),"",Home_telephone)</f>
      </c>
      <c r="M18" s="67"/>
      <c r="N18" s="67"/>
      <c r="O18" s="66"/>
      <c r="P18" s="63" t="s">
        <v>67</v>
      </c>
      <c r="Q18" s="68">
        <f>IF(ISBLANK(email),"",email)</f>
      </c>
      <c r="R18" s="69"/>
      <c r="S18" s="69"/>
      <c r="T18" s="70"/>
    </row>
    <row r="19" spans="1:19" ht="36" customHeight="1">
      <c r="A19" s="42">
        <f>IF(ISBLANK(Distance Control_6),"",Control_6 Distance)</f>
        <v>231.20000000000002</v>
      </c>
      <c r="B19" s="43">
        <f>Control_6 Open_time</f>
        <v>0.5770833333333334</v>
      </c>
      <c r="C19" s="43">
        <f>Control_6 Close_time</f>
        <v>0.9340277777777779</v>
      </c>
      <c r="D19" s="44">
        <f>IF(ISBLANK(Locale Control_6),"",Locale Control_6)</f>
        <v>0</v>
      </c>
      <c r="E19" s="38">
        <f>IF(ISBLANK(Control_6 Establishment_2),"",Control_6 Establishment_2)</f>
        <v>0</v>
      </c>
      <c r="F19" s="39"/>
      <c r="G19" s="40"/>
      <c r="H19" s="11" t="s">
        <v>54</v>
      </c>
      <c r="L19" s="66"/>
      <c r="M19" s="66"/>
      <c r="N19" s="66"/>
      <c r="O19" s="66"/>
      <c r="P19" s="66"/>
      <c r="Q19" s="66"/>
      <c r="R19" s="66"/>
      <c r="S19" s="66"/>
    </row>
    <row r="20" spans="1:20" ht="36" customHeight="1">
      <c r="A20" s="45"/>
      <c r="B20" s="46">
        <f>Control_6 Open_time</f>
        <v>0.5770833333333334</v>
      </c>
      <c r="C20" s="46">
        <f>Control_6 Close_time</f>
        <v>0.9340277777777779</v>
      </c>
      <c r="D20" s="47"/>
      <c r="E20" s="48">
        <f>IF(ISBLANK(Control_6 Establishment_3),"",Control_6 Establishment_3)</f>
        <v>0</v>
      </c>
      <c r="F20" s="49"/>
      <c r="G20" s="50"/>
      <c r="H20" s="11" t="s">
        <v>54</v>
      </c>
      <c r="J20" s="71" t="s">
        <v>68</v>
      </c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1:20" ht="36" customHeight="1">
      <c r="A21" s="35"/>
      <c r="B21" s="36">
        <f>Control_7 Open_time</f>
        <v>0.6826388888888889</v>
      </c>
      <c r="C21" s="36">
        <f>Control_7 Close_time</f>
        <v>1.125</v>
      </c>
      <c r="D21" s="51"/>
      <c r="E21" s="38">
        <f>IF(ISBLANK(Control_7 Establishment_1),"",Control_7 Establishment_1)</f>
        <v>0</v>
      </c>
      <c r="F21" s="39"/>
      <c r="G21" s="40"/>
      <c r="H21" s="11" t="s">
        <v>54</v>
      </c>
      <c r="J21" s="71" t="s">
        <v>69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1:19" ht="36" customHeight="1">
      <c r="A22" s="42">
        <f>IF(ISBLANK(Distance Control_7),"",Control_7 Distance)</f>
        <v>312.0999999999999</v>
      </c>
      <c r="B22" s="43">
        <f>Control_7 Open_time</f>
        <v>0.6826388888888889</v>
      </c>
      <c r="C22" s="43">
        <f>Control_7 Close_time</f>
        <v>1.125</v>
      </c>
      <c r="D22" s="44">
        <f>IF(ISBLANK(Locale Control_7),"",Locale Control_7)</f>
        <v>0</v>
      </c>
      <c r="E22" s="38">
        <f>IF(ISBLANK(Control_7 Establishment_2),"",Control_7 Establishment_2)</f>
        <v>0</v>
      </c>
      <c r="F22" s="39"/>
      <c r="G22" s="40"/>
      <c r="H22" s="11" t="s">
        <v>54</v>
      </c>
      <c r="L22" s="66"/>
      <c r="M22" s="66"/>
      <c r="N22" s="66"/>
      <c r="O22" s="66"/>
      <c r="P22" s="66"/>
      <c r="Q22" s="66"/>
      <c r="R22" s="66"/>
      <c r="S22" s="66"/>
    </row>
    <row r="23" spans="1:20" ht="36" customHeight="1">
      <c r="A23" s="45"/>
      <c r="B23" s="46">
        <f>Control_7 Open_time</f>
        <v>0.6826388888888889</v>
      </c>
      <c r="C23" s="46">
        <f>Control_7 Close_time</f>
        <v>1.125</v>
      </c>
      <c r="D23" s="47"/>
      <c r="E23" s="48">
        <f>IF(ISBLANK(Control_7 Establishment_3),"",Control_7 Establishment_3)</f>
        <v>0</v>
      </c>
      <c r="F23" s="49"/>
      <c r="G23" s="50"/>
      <c r="H23" s="11" t="s">
        <v>54</v>
      </c>
      <c r="J23" s="72" t="s">
        <v>70</v>
      </c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4" spans="1:20" ht="36" customHeight="1">
      <c r="A24" s="35"/>
      <c r="B24" s="36">
        <f>Control_8 Open_time</f>
        <v>0</v>
      </c>
      <c r="C24" s="36">
        <f>Control_8 Close_time</f>
        <v>0</v>
      </c>
      <c r="D24" s="51"/>
      <c r="E24" s="38">
        <f>IF(ISBLANK(Control_8 Establishment_1),"",Control_8 Establishment_1)</f>
        <v>0</v>
      </c>
      <c r="F24" s="39"/>
      <c r="G24" s="40"/>
      <c r="H24" s="11" t="s">
        <v>54</v>
      </c>
      <c r="J24" s="56" t="s">
        <v>71</v>
      </c>
      <c r="K24" s="73">
        <f>IF(ISBLANK(Start_date),"",Start_date)</f>
      </c>
      <c r="L24" s="73"/>
      <c r="M24" s="73"/>
      <c r="N24" s="66"/>
      <c r="O24" s="63" t="s">
        <v>72</v>
      </c>
      <c r="P24" s="66"/>
      <c r="Q24" s="69"/>
      <c r="R24" s="69"/>
      <c r="S24" s="69"/>
      <c r="T24" s="74"/>
    </row>
    <row r="25" spans="1:20" ht="36" customHeight="1">
      <c r="A25" s="42">
        <f>IF(ISBLANK(Distance Control_8),"",Control_8 Distance)</f>
      </c>
      <c r="B25" s="43">
        <f>Control_8 Open_time</f>
        <v>0</v>
      </c>
      <c r="C25" s="43">
        <f>Control_8 Close_time</f>
        <v>0</v>
      </c>
      <c r="D25" s="44">
        <f>IF(ISBLANK(Locale Control_8),"",Locale Control_8)</f>
        <v>0</v>
      </c>
      <c r="E25" s="38">
        <f>IF(ISBLANK(Control_8 Establishment_2),"",Control_8 Establishment_2)</f>
        <v>0</v>
      </c>
      <c r="F25" s="39"/>
      <c r="G25" s="40"/>
      <c r="H25" s="11" t="s">
        <v>54</v>
      </c>
      <c r="L25" s="66"/>
      <c r="M25" s="66"/>
      <c r="N25" s="66"/>
      <c r="O25" s="63" t="s">
        <v>73</v>
      </c>
      <c r="P25" s="66"/>
      <c r="Q25" s="69"/>
      <c r="R25" s="69"/>
      <c r="S25" s="69"/>
      <c r="T25" s="74"/>
    </row>
    <row r="26" spans="1:20" ht="36" customHeight="1">
      <c r="A26" s="45"/>
      <c r="B26" s="46">
        <f>Control_8 Open_time</f>
        <v>0</v>
      </c>
      <c r="C26" s="46">
        <f>Control_8 Close_time</f>
        <v>0</v>
      </c>
      <c r="D26" s="47"/>
      <c r="E26" s="48">
        <f>IF(ISBLANK(Control_8 Establishment_3),"",Control_8 Establishment_3)</f>
        <v>0</v>
      </c>
      <c r="F26" s="49"/>
      <c r="G26" s="50"/>
      <c r="H26" s="11" t="s">
        <v>54</v>
      </c>
      <c r="J26" s="74"/>
      <c r="K26" s="74"/>
      <c r="L26" s="69"/>
      <c r="M26" s="69"/>
      <c r="N26" s="66"/>
      <c r="O26" s="63" t="s">
        <v>74</v>
      </c>
      <c r="P26" s="66"/>
      <c r="Q26" s="69"/>
      <c r="R26" s="69"/>
      <c r="S26" s="69"/>
      <c r="T26" s="74"/>
    </row>
    <row r="27" spans="1:19" ht="36" customHeight="1">
      <c r="A27" s="35"/>
      <c r="B27" s="36">
        <f>Control_9 Open_time</f>
        <v>0</v>
      </c>
      <c r="C27" s="36">
        <f>Control_9 Close_time</f>
        <v>0</v>
      </c>
      <c r="D27" s="51"/>
      <c r="E27" s="38">
        <f>IF(ISBLANK(Control_9 Establishment_1),"",Control_9 Establishment_1)</f>
        <v>0</v>
      </c>
      <c r="F27" s="39"/>
      <c r="G27" s="40"/>
      <c r="H27" s="11" t="s">
        <v>54</v>
      </c>
      <c r="J27" s="75" t="s">
        <v>75</v>
      </c>
      <c r="K27" s="75"/>
      <c r="L27" s="75"/>
      <c r="M27" s="75"/>
      <c r="N27" s="66"/>
      <c r="O27" s="66"/>
      <c r="P27" s="66"/>
      <c r="Q27" s="66"/>
      <c r="R27" s="66"/>
      <c r="S27" s="66"/>
    </row>
    <row r="28" spans="1:19" ht="36" customHeight="1">
      <c r="A28" s="42">
        <f>IF(ISBLANK(Distance Control_9),"",Control_9 Distance)</f>
      </c>
      <c r="B28" s="43">
        <f>Control_9 Open_time</f>
        <v>0</v>
      </c>
      <c r="C28" s="43">
        <f>Control_9 Close_time</f>
        <v>0</v>
      </c>
      <c r="D28" s="44">
        <f>IF(ISBLANK(Locale Control_9),"",Locale Control_9)</f>
        <v>0</v>
      </c>
      <c r="E28" s="38">
        <f>IF(ISBLANK(Control_9 Establishment_2),"",Control_9 Establishment_2)</f>
        <v>0</v>
      </c>
      <c r="F28" s="39"/>
      <c r="G28" s="40"/>
      <c r="H28" s="11" t="s">
        <v>54</v>
      </c>
      <c r="L28" s="76" t="s">
        <v>76</v>
      </c>
      <c r="M28" s="76"/>
      <c r="N28" s="76"/>
      <c r="O28" s="76"/>
      <c r="P28" s="76"/>
      <c r="Q28" s="76"/>
      <c r="R28" s="66"/>
      <c r="S28" s="66"/>
    </row>
    <row r="29" spans="1:19" ht="36" customHeight="1">
      <c r="A29" s="45"/>
      <c r="B29" s="46">
        <f>Control_9 Open_time</f>
        <v>0</v>
      </c>
      <c r="C29" s="46">
        <f>Control_9 Close_time</f>
        <v>0</v>
      </c>
      <c r="D29" s="47"/>
      <c r="E29" s="48">
        <f>IF(ISBLANK(Control_9 Establishment_3),"",Control_9 Establishment_3)</f>
        <v>0</v>
      </c>
      <c r="F29" s="49"/>
      <c r="G29" s="50"/>
      <c r="H29" s="11" t="s">
        <v>54</v>
      </c>
      <c r="K29" s="77"/>
      <c r="L29" s="78"/>
      <c r="M29" s="78"/>
      <c r="N29" s="79"/>
      <c r="O29" s="80"/>
      <c r="P29" s="78"/>
      <c r="Q29" s="78"/>
      <c r="R29" s="79"/>
      <c r="S29" s="81" t="s">
        <v>77</v>
      </c>
    </row>
    <row r="30" spans="1:19" ht="36" customHeight="1">
      <c r="A30" s="35"/>
      <c r="B30" s="36">
        <f>Control_10 Open_time</f>
        <v>0</v>
      </c>
      <c r="C30" s="36">
        <f>Control_10 Close_time</f>
        <v>0</v>
      </c>
      <c r="D30" s="51"/>
      <c r="E30" s="38">
        <f>IF(ISBLANK(Control_10 Establishment_1),"",Control_10 Establishment_1)</f>
        <v>0</v>
      </c>
      <c r="F30" s="39"/>
      <c r="G30" s="40"/>
      <c r="H30" s="11" t="s">
        <v>54</v>
      </c>
      <c r="K30" s="82"/>
      <c r="L30" s="83"/>
      <c r="M30" s="83"/>
      <c r="N30" s="84"/>
      <c r="O30" s="85"/>
      <c r="P30" s="83"/>
      <c r="Q30" s="83"/>
      <c r="R30" s="84"/>
      <c r="S30" s="86" t="s">
        <v>78</v>
      </c>
    </row>
    <row r="31" spans="1:21" ht="36" customHeight="1">
      <c r="A31" s="42">
        <f>IF(ISBLANK(Distance Control_10),"",Control_10 Distance)</f>
      </c>
      <c r="B31" s="43">
        <f>Control_10 Open_time</f>
        <v>0</v>
      </c>
      <c r="C31" s="43">
        <f>Control_10 Close_time</f>
        <v>0</v>
      </c>
      <c r="D31" s="44">
        <f>IF(ISBLANK(Locale Control_10),"",Locale Control_10)</f>
        <v>0</v>
      </c>
      <c r="E31" s="38">
        <f>IF(ISBLANK(Control_10 Establishment_2),"",Control_10 Establishment_2)</f>
        <v>0</v>
      </c>
      <c r="F31" s="39"/>
      <c r="G31" s="40"/>
      <c r="H31" s="11" t="s">
        <v>54</v>
      </c>
      <c r="K31" s="87"/>
      <c r="L31" s="69"/>
      <c r="M31" s="69"/>
      <c r="N31" s="88"/>
      <c r="O31" s="89"/>
      <c r="P31" s="69"/>
      <c r="Q31" s="69"/>
      <c r="R31" s="88"/>
      <c r="S31" s="66"/>
      <c r="U31" s="90"/>
    </row>
    <row r="32" spans="1:21" ht="36" customHeight="1">
      <c r="A32" s="45"/>
      <c r="B32" s="46">
        <f>Control_10 Open_time</f>
        <v>0</v>
      </c>
      <c r="C32" s="46">
        <f>Control_10 Close_time</f>
        <v>0</v>
      </c>
      <c r="D32" s="47"/>
      <c r="E32" s="48">
        <f>IF(ISBLANK(Control_10 Establishment_3),"",Control_10 Establishment_3)</f>
        <v>0</v>
      </c>
      <c r="F32" s="49"/>
      <c r="G32" s="50"/>
      <c r="H32" s="11" t="s">
        <v>54</v>
      </c>
      <c r="L32" s="63" t="s">
        <v>79</v>
      </c>
      <c r="M32" s="66"/>
      <c r="N32" s="61" t="str">
        <f>IF(ISBLANK(Brevet_Number),"",Brevet_Number)</f>
        <v>VI0301A</v>
      </c>
      <c r="O32" s="61"/>
      <c r="P32" s="61"/>
      <c r="Q32" s="66"/>
      <c r="R32" s="66"/>
      <c r="S32" s="66"/>
      <c r="U32" s="90"/>
    </row>
    <row r="33" ht="12.75">
      <c r="H33" s="91"/>
    </row>
  </sheetData>
  <sheetProtection selectLockedCells="1" selectUnlockedCells="1"/>
  <mergeCells count="11">
    <mergeCell ref="A1:G1"/>
    <mergeCell ref="J8:T8"/>
    <mergeCell ref="J9:S9"/>
    <mergeCell ref="J10:T10"/>
    <mergeCell ref="L18:N18"/>
    <mergeCell ref="J20:T20"/>
    <mergeCell ref="J21:T21"/>
    <mergeCell ref="J23:T23"/>
    <mergeCell ref="K24:M24"/>
    <mergeCell ref="J27:M27"/>
    <mergeCell ref="L28:Q28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3.00390625" style="0" customWidth="1"/>
    <col min="2" max="2" width="14.57421875" style="0" customWidth="1"/>
    <col min="3" max="3" width="15.00390625" style="0" customWidth="1"/>
    <col min="4" max="4" width="6.140625" style="0" customWidth="1"/>
    <col min="5" max="6" width="30.7109375" style="0" customWidth="1"/>
    <col min="7" max="7" width="15.7109375" style="0" customWidth="1"/>
    <col min="9" max="9" width="8.00390625" style="0" customWidth="1"/>
    <col min="10" max="10" width="11.8515625" style="0" customWidth="1"/>
    <col min="11" max="11" width="16.00390625" style="0" customWidth="1"/>
    <col min="12" max="12" width="15.421875" style="0" customWidth="1"/>
    <col min="13" max="13" width="13.28125" style="0" customWidth="1"/>
    <col min="14" max="14" width="34.140625" style="0" customWidth="1"/>
    <col min="15" max="16" width="9.57421875" style="0" customWidth="1"/>
    <col min="18" max="18" width="8.8515625" style="0" customWidth="1"/>
  </cols>
  <sheetData>
    <row r="1" spans="1:18" ht="24.75">
      <c r="A1" s="92"/>
      <c r="B1" s="93" t="s">
        <v>80</v>
      </c>
      <c r="C1" s="93" t="s">
        <v>81</v>
      </c>
      <c r="D1" s="93" t="s">
        <v>82</v>
      </c>
      <c r="E1" s="93" t="s">
        <v>83</v>
      </c>
      <c r="F1" s="93" t="s">
        <v>84</v>
      </c>
      <c r="G1" s="93" t="s">
        <v>62</v>
      </c>
      <c r="H1" s="94" t="s">
        <v>63</v>
      </c>
      <c r="I1" s="93" t="s">
        <v>64</v>
      </c>
      <c r="J1" s="93" t="s">
        <v>65</v>
      </c>
      <c r="K1" s="95" t="s">
        <v>85</v>
      </c>
      <c r="L1" s="95" t="s">
        <v>86</v>
      </c>
      <c r="M1" s="96" t="s">
        <v>87</v>
      </c>
      <c r="N1" s="97" t="s">
        <v>67</v>
      </c>
      <c r="O1" s="98" t="s">
        <v>88</v>
      </c>
      <c r="P1" s="98" t="s">
        <v>89</v>
      </c>
      <c r="Q1" s="98" t="s">
        <v>90</v>
      </c>
      <c r="R1" s="98" t="s">
        <v>91</v>
      </c>
    </row>
    <row r="2" spans="1:18" ht="12.75">
      <c r="A2" s="92"/>
      <c r="B2" s="99">
        <f aca="true" t="shared" si="0" ref="B2:N2">IF(ISBLANK(B3),"",B3)</f>
      </c>
      <c r="C2" s="99">
        <f t="shared" si="0"/>
      </c>
      <c r="D2" s="99">
        <f t="shared" si="0"/>
      </c>
      <c r="E2" s="99">
        <f t="shared" si="0"/>
      </c>
      <c r="F2" s="99">
        <f t="shared" si="0"/>
      </c>
      <c r="G2" s="99">
        <f t="shared" si="0"/>
      </c>
      <c r="H2" s="99">
        <f t="shared" si="0"/>
      </c>
      <c r="I2" s="99">
        <f t="shared" si="0"/>
      </c>
      <c r="J2" s="99">
        <f t="shared" si="0"/>
      </c>
      <c r="K2" s="100">
        <f t="shared" si="0"/>
      </c>
      <c r="L2" s="100">
        <f t="shared" si="0"/>
      </c>
      <c r="M2" s="100">
        <f t="shared" si="0"/>
      </c>
      <c r="N2" s="99">
        <f t="shared" si="0"/>
      </c>
      <c r="O2" s="101"/>
      <c r="P2" s="102"/>
      <c r="Q2" s="101"/>
      <c r="R2" s="101"/>
    </row>
    <row r="3" spans="1:18" ht="12.75">
      <c r="A3" s="103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5"/>
      <c r="L3" s="105"/>
      <c r="M3" s="105"/>
      <c r="N3" s="104"/>
      <c r="O3" s="106"/>
      <c r="P3" s="107"/>
      <c r="Q3" s="106"/>
      <c r="R3" s="106"/>
    </row>
    <row r="4" spans="2:18" ht="12.75">
      <c r="B4" s="104"/>
      <c r="C4" s="104"/>
      <c r="D4" s="104"/>
      <c r="E4" s="104"/>
      <c r="F4" s="104"/>
      <c r="G4" s="104"/>
      <c r="H4" s="104"/>
      <c r="I4" s="104"/>
      <c r="J4" s="104"/>
      <c r="K4" s="105"/>
      <c r="L4" s="105"/>
      <c r="M4" s="105"/>
      <c r="N4" s="104"/>
      <c r="O4" s="107"/>
      <c r="P4" s="107"/>
      <c r="Q4" s="107"/>
      <c r="R4" s="106"/>
    </row>
    <row r="5" spans="1:18" ht="12.75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5"/>
      <c r="L5" s="105"/>
      <c r="M5" s="105"/>
      <c r="N5" s="104"/>
      <c r="O5" s="106"/>
      <c r="P5" s="106"/>
      <c r="Q5" s="106"/>
      <c r="R5" s="106"/>
    </row>
    <row r="6" spans="1:18" ht="12.75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5"/>
      <c r="L6" s="105"/>
      <c r="M6" s="105"/>
      <c r="N6" s="104"/>
      <c r="O6" s="106"/>
      <c r="P6" s="106"/>
      <c r="Q6" s="106"/>
      <c r="R6" s="106"/>
    </row>
    <row r="7" spans="2:18" ht="12.75">
      <c r="B7" s="104"/>
      <c r="C7" s="104"/>
      <c r="D7" s="104"/>
      <c r="E7" s="104"/>
      <c r="F7" s="104"/>
      <c r="G7" s="104"/>
      <c r="H7" s="104"/>
      <c r="I7" s="104"/>
      <c r="J7" s="104"/>
      <c r="K7" s="105"/>
      <c r="L7" s="105"/>
      <c r="M7" s="105"/>
      <c r="N7" s="104"/>
      <c r="O7" s="107"/>
      <c r="P7" s="106"/>
      <c r="Q7" s="107"/>
      <c r="R7" s="106"/>
    </row>
    <row r="8" spans="1:18" ht="12.75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5"/>
      <c r="L8" s="105"/>
      <c r="M8" s="105"/>
      <c r="N8" s="104"/>
      <c r="O8" s="106"/>
      <c r="P8" s="107"/>
      <c r="Q8" s="106"/>
      <c r="R8" s="106"/>
    </row>
    <row r="9" spans="2:18" ht="12.75">
      <c r="B9" s="104"/>
      <c r="C9" s="104"/>
      <c r="D9" s="104"/>
      <c r="E9" s="104"/>
      <c r="F9" s="104"/>
      <c r="G9" s="104"/>
      <c r="H9" s="104"/>
      <c r="I9" s="104"/>
      <c r="J9" s="104"/>
      <c r="K9" s="105"/>
      <c r="L9" s="105"/>
      <c r="M9" s="105"/>
      <c r="N9" s="104"/>
      <c r="O9" s="107"/>
      <c r="P9" s="107"/>
      <c r="Q9" s="107"/>
      <c r="R9" s="106"/>
    </row>
    <row r="10" spans="1:18" ht="12.75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5"/>
      <c r="L10" s="105"/>
      <c r="M10" s="105"/>
      <c r="N10" s="104"/>
      <c r="O10" s="106"/>
      <c r="P10" s="107"/>
      <c r="Q10" s="106"/>
      <c r="R10" s="106"/>
    </row>
    <row r="11" spans="2:18" ht="12.75">
      <c r="B11" s="104"/>
      <c r="C11" s="104"/>
      <c r="D11" s="104"/>
      <c r="E11" s="104"/>
      <c r="F11" s="104"/>
      <c r="G11" s="104"/>
      <c r="H11" s="104"/>
      <c r="I11" s="104"/>
      <c r="J11" s="104"/>
      <c r="K11" s="105"/>
      <c r="L11" s="105"/>
      <c r="M11" s="105"/>
      <c r="N11" s="104"/>
      <c r="O11" s="107"/>
      <c r="P11" s="106"/>
      <c r="Q11" s="107"/>
      <c r="R11" s="106"/>
    </row>
    <row r="12" spans="1:18" ht="12.75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5"/>
      <c r="L12" s="105"/>
      <c r="M12" s="105"/>
      <c r="N12" s="104"/>
      <c r="O12" s="106"/>
      <c r="P12" s="107"/>
      <c r="Q12" s="106"/>
      <c r="R12" s="106"/>
    </row>
    <row r="13" spans="1:18" ht="12.75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5"/>
      <c r="L13" s="105"/>
      <c r="M13" s="105"/>
      <c r="N13" s="104"/>
      <c r="O13" s="106"/>
      <c r="P13" s="106"/>
      <c r="Q13" s="106"/>
      <c r="R13" s="106"/>
    </row>
    <row r="14" spans="1:18" ht="12.75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5"/>
      <c r="L14" s="105"/>
      <c r="M14" s="105"/>
      <c r="N14" s="104"/>
      <c r="O14" s="106"/>
      <c r="P14" s="107"/>
      <c r="Q14" s="106"/>
      <c r="R14" s="106"/>
    </row>
    <row r="15" spans="1:18" ht="12.75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5"/>
      <c r="L15" s="105"/>
      <c r="M15" s="105"/>
      <c r="N15" s="104"/>
      <c r="O15" s="106"/>
      <c r="P15" s="107"/>
      <c r="Q15" s="106"/>
      <c r="R15" s="106"/>
    </row>
    <row r="16" spans="1:18" ht="12.75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5"/>
      <c r="L16" s="105"/>
      <c r="M16" s="105"/>
      <c r="N16" s="104"/>
      <c r="O16" s="106"/>
      <c r="P16" s="106"/>
      <c r="Q16" s="106"/>
      <c r="R16" s="106"/>
    </row>
    <row r="17" spans="1:18" ht="12.75">
      <c r="A17" s="103"/>
      <c r="B17" s="104"/>
      <c r="C17" s="104"/>
      <c r="D17" s="104"/>
      <c r="E17" s="104"/>
      <c r="F17" s="104"/>
      <c r="G17" s="104"/>
      <c r="H17" s="104"/>
      <c r="I17" s="104"/>
      <c r="J17" s="104"/>
      <c r="K17" s="108"/>
      <c r="L17" s="105"/>
      <c r="M17" s="105"/>
      <c r="N17" s="104"/>
      <c r="O17" s="106"/>
      <c r="P17" s="107"/>
      <c r="Q17" s="106"/>
      <c r="R17" s="106"/>
    </row>
    <row r="18" spans="1:18" ht="12.75">
      <c r="A18" s="103"/>
      <c r="B18" s="104"/>
      <c r="C18" s="104"/>
      <c r="D18" s="104"/>
      <c r="E18" s="109"/>
      <c r="F18" s="104"/>
      <c r="G18" s="104"/>
      <c r="H18" s="104"/>
      <c r="I18" s="104"/>
      <c r="J18" s="104"/>
      <c r="K18" s="105"/>
      <c r="L18" s="105"/>
      <c r="M18" s="105"/>
      <c r="N18" s="104"/>
      <c r="O18" s="106"/>
      <c r="P18" s="107"/>
      <c r="Q18" s="106"/>
      <c r="R18" s="106"/>
    </row>
    <row r="19" spans="1:18" ht="12.75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5"/>
      <c r="L19" s="105"/>
      <c r="M19" s="105"/>
      <c r="N19" s="104"/>
      <c r="O19" s="106"/>
      <c r="P19" s="107"/>
      <c r="Q19" s="106"/>
      <c r="R19" s="106"/>
    </row>
    <row r="20" spans="1:18" ht="12.75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5"/>
      <c r="L20" s="105"/>
      <c r="M20" s="105"/>
      <c r="N20" s="104"/>
      <c r="O20" s="106"/>
      <c r="P20" s="107"/>
      <c r="Q20" s="106"/>
      <c r="R20" s="106"/>
    </row>
    <row r="21" spans="1:18" ht="12.75">
      <c r="A21" s="103"/>
      <c r="B21" s="104"/>
      <c r="C21" s="104"/>
      <c r="D21" s="104"/>
      <c r="E21" s="104"/>
      <c r="F21" s="104"/>
      <c r="G21" s="104"/>
      <c r="H21" s="104"/>
      <c r="I21" s="104"/>
      <c r="J21" s="104"/>
      <c r="K21" s="105"/>
      <c r="L21" s="105"/>
      <c r="M21" s="105"/>
      <c r="N21" s="104"/>
      <c r="O21" s="106"/>
      <c r="P21" s="106"/>
      <c r="Q21" s="106"/>
      <c r="R21" s="106"/>
    </row>
    <row r="22" spans="1:18" ht="12.7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5"/>
      <c r="L22" s="105"/>
      <c r="M22" s="105"/>
      <c r="N22" s="104"/>
      <c r="O22" s="106"/>
      <c r="P22" s="106"/>
      <c r="Q22" s="106"/>
      <c r="R22" s="106"/>
    </row>
    <row r="23" spans="1:18" ht="12.75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5"/>
      <c r="L23" s="105"/>
      <c r="M23" s="105"/>
      <c r="N23" s="104"/>
      <c r="O23" s="106"/>
      <c r="P23" s="106"/>
      <c r="Q23" s="106"/>
      <c r="R23" s="106"/>
    </row>
    <row r="24" spans="1:18" ht="12.75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5"/>
      <c r="L24" s="105"/>
      <c r="M24" s="105"/>
      <c r="N24" s="104"/>
      <c r="O24" s="106"/>
      <c r="P24" s="107"/>
      <c r="Q24" s="106"/>
      <c r="R24" s="106"/>
    </row>
    <row r="25" spans="1:18" ht="12.75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5"/>
      <c r="L25" s="105"/>
      <c r="M25" s="105"/>
      <c r="N25" s="104"/>
      <c r="O25" s="106"/>
      <c r="P25" s="106"/>
      <c r="Q25" s="106"/>
      <c r="R25" s="106"/>
    </row>
    <row r="26" spans="1:18" ht="12.75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5"/>
      <c r="L26" s="105"/>
      <c r="M26" s="105"/>
      <c r="N26" s="104"/>
      <c r="O26" s="106"/>
      <c r="P26" s="107"/>
      <c r="Q26" s="106"/>
      <c r="R26" s="106"/>
    </row>
    <row r="27" spans="1:18" ht="12.75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5"/>
      <c r="L27" s="105"/>
      <c r="M27" s="105"/>
      <c r="N27" s="104"/>
      <c r="O27" s="106"/>
      <c r="P27" s="107"/>
      <c r="Q27" s="106"/>
      <c r="R27" s="106"/>
    </row>
    <row r="28" spans="1:18" ht="12.75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5"/>
      <c r="L28" s="105"/>
      <c r="M28" s="105"/>
      <c r="N28" s="104"/>
      <c r="O28" s="106"/>
      <c r="P28" s="107"/>
      <c r="Q28" s="106"/>
      <c r="R28" s="106"/>
    </row>
    <row r="29" spans="1:18" ht="12.75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5"/>
      <c r="L29" s="105"/>
      <c r="M29" s="105"/>
      <c r="N29" s="104"/>
      <c r="O29" s="106"/>
      <c r="P29" s="107"/>
      <c r="Q29" s="106"/>
      <c r="R29" s="106"/>
    </row>
    <row r="30" spans="1:18" ht="12.75">
      <c r="A30" s="103"/>
      <c r="B30" s="104"/>
      <c r="C30" s="104"/>
      <c r="D30" s="104"/>
      <c r="E30" s="104"/>
      <c r="F30" s="104"/>
      <c r="G30" s="104"/>
      <c r="H30" s="104"/>
      <c r="I30" s="104"/>
      <c r="J30" s="104"/>
      <c r="K30" s="105"/>
      <c r="L30" s="105"/>
      <c r="M30" s="105"/>
      <c r="N30" s="104"/>
      <c r="O30" s="106"/>
      <c r="P30" s="107"/>
      <c r="Q30" s="106"/>
      <c r="R30" s="106"/>
    </row>
    <row r="31" spans="1:18" ht="12.75">
      <c r="A31" s="103"/>
      <c r="B31" s="104"/>
      <c r="C31" s="104"/>
      <c r="D31" s="104"/>
      <c r="E31" s="104"/>
      <c r="F31" s="104"/>
      <c r="G31" s="104"/>
      <c r="H31" s="104"/>
      <c r="I31" s="104"/>
      <c r="J31" s="104"/>
      <c r="K31" s="105"/>
      <c r="L31" s="105"/>
      <c r="M31" s="105"/>
      <c r="N31" s="104"/>
      <c r="O31" s="106"/>
      <c r="P31" s="107"/>
      <c r="Q31" s="106"/>
      <c r="R31" s="106"/>
    </row>
    <row r="32" spans="11:18" ht="12.75">
      <c r="K32" s="110"/>
      <c r="L32" s="110"/>
      <c r="M32" s="110"/>
      <c r="O32" s="111"/>
      <c r="Q32" s="111"/>
      <c r="R32" s="111"/>
    </row>
    <row r="34" ht="12.75">
      <c r="P34" t="s">
        <v>92</v>
      </c>
    </row>
    <row r="35" ht="12.75">
      <c r="P35" t="s">
        <v>93</v>
      </c>
    </row>
    <row r="36" ht="12.75">
      <c r="P36" t="s">
        <v>94</v>
      </c>
    </row>
    <row r="37" ht="12.75">
      <c r="P37" t="s">
        <v>95</v>
      </c>
    </row>
    <row r="38" ht="12.75">
      <c r="P38" t="s">
        <v>96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95"/>
  <sheetViews>
    <sheetView tabSelected="1" workbookViewId="0" topLeftCell="A1">
      <selection activeCell="H45" sqref="H45"/>
    </sheetView>
  </sheetViews>
  <sheetFormatPr defaultColWidth="9.140625" defaultRowHeight="12.75"/>
  <cols>
    <col min="1" max="1" width="6.57421875" style="112" customWidth="1"/>
    <col min="2" max="2" width="3.7109375" style="113" customWidth="1"/>
    <col min="3" max="3" width="32.7109375" style="114" customWidth="1"/>
    <col min="4" max="4" width="6.57421875" style="112" customWidth="1"/>
    <col min="5" max="5" width="0.71875" style="0" customWidth="1"/>
    <col min="6" max="6" width="6.57421875" style="112" customWidth="1"/>
    <col min="7" max="7" width="3.7109375" style="113" customWidth="1"/>
    <col min="8" max="8" width="32.7109375" style="114" customWidth="1"/>
    <col min="9" max="9" width="6.57421875" style="112" customWidth="1"/>
  </cols>
  <sheetData>
    <row r="1" spans="1:9" ht="60.75">
      <c r="A1" s="115" t="s">
        <v>97</v>
      </c>
      <c r="B1" s="116" t="s">
        <v>98</v>
      </c>
      <c r="C1" s="117" t="s">
        <v>99</v>
      </c>
      <c r="D1" s="118" t="s">
        <v>100</v>
      </c>
      <c r="F1" s="115" t="s">
        <v>97</v>
      </c>
      <c r="G1" s="116" t="s">
        <v>98</v>
      </c>
      <c r="H1" s="117" t="s">
        <v>99</v>
      </c>
      <c r="I1" s="118" t="s">
        <v>100</v>
      </c>
    </row>
    <row r="2" spans="1:9" ht="12.75">
      <c r="A2" s="119"/>
      <c r="B2" s="120"/>
      <c r="C2" s="121" t="s">
        <v>101</v>
      </c>
      <c r="D2" s="122"/>
      <c r="F2" s="119">
        <f>A23+D23</f>
        <v>21.799999999999994</v>
      </c>
      <c r="G2" s="123" t="s">
        <v>102</v>
      </c>
      <c r="H2" s="124" t="s">
        <v>103</v>
      </c>
      <c r="I2" s="122">
        <v>2.7</v>
      </c>
    </row>
    <row r="3" spans="1:9" ht="12.75">
      <c r="A3" s="119"/>
      <c r="B3" s="120"/>
      <c r="C3" s="125" t="s">
        <v>104</v>
      </c>
      <c r="D3" s="122"/>
      <c r="F3" s="119">
        <f>F2+I2</f>
        <v>24.499999999999993</v>
      </c>
      <c r="G3" s="123" t="s">
        <v>105</v>
      </c>
      <c r="H3" s="124" t="s">
        <v>106</v>
      </c>
      <c r="I3" s="122">
        <v>3.6</v>
      </c>
    </row>
    <row r="4" spans="1:9" ht="12.75">
      <c r="A4" s="119"/>
      <c r="B4" s="120"/>
      <c r="C4" s="126"/>
      <c r="D4" s="122"/>
      <c r="F4" s="119">
        <f aca="true" t="shared" si="0" ref="F4:F17">F3+I3</f>
        <v>28.099999999999994</v>
      </c>
      <c r="G4" s="127" t="s">
        <v>105</v>
      </c>
      <c r="H4" s="128" t="s">
        <v>107</v>
      </c>
      <c r="I4" s="129">
        <v>4</v>
      </c>
    </row>
    <row r="5" spans="1:9" ht="12.75">
      <c r="A5" s="119">
        <v>0</v>
      </c>
      <c r="B5" s="120" t="s">
        <v>108</v>
      </c>
      <c r="C5" s="126" t="s">
        <v>109</v>
      </c>
      <c r="D5" s="122">
        <v>0.2</v>
      </c>
      <c r="F5" s="119">
        <f t="shared" si="0"/>
        <v>32.099999999999994</v>
      </c>
      <c r="G5" s="127" t="s">
        <v>105</v>
      </c>
      <c r="H5" s="128" t="s">
        <v>110</v>
      </c>
      <c r="I5" s="129">
        <v>9.9</v>
      </c>
    </row>
    <row r="6" spans="1:9" ht="12.75">
      <c r="A6" s="119">
        <f>A5+D5</f>
        <v>0.2</v>
      </c>
      <c r="B6" s="120" t="s">
        <v>105</v>
      </c>
      <c r="C6" s="126" t="s">
        <v>111</v>
      </c>
      <c r="D6" s="122">
        <v>4.8</v>
      </c>
      <c r="F6" s="119">
        <f t="shared" si="0"/>
        <v>41.99999999999999</v>
      </c>
      <c r="G6" s="127" t="s">
        <v>108</v>
      </c>
      <c r="H6" s="128" t="s">
        <v>112</v>
      </c>
      <c r="I6" s="129">
        <v>0.3</v>
      </c>
    </row>
    <row r="7" spans="1:9" ht="12.75">
      <c r="A7" s="119">
        <f aca="true" t="shared" si="1" ref="A7:A23">A6+D6</f>
        <v>5</v>
      </c>
      <c r="B7" s="120" t="s">
        <v>108</v>
      </c>
      <c r="C7" s="126" t="s">
        <v>113</v>
      </c>
      <c r="D7" s="122">
        <v>0</v>
      </c>
      <c r="F7" s="119">
        <f t="shared" si="0"/>
        <v>42.29999999999999</v>
      </c>
      <c r="G7" s="123" t="s">
        <v>108</v>
      </c>
      <c r="H7" s="124" t="s">
        <v>114</v>
      </c>
      <c r="I7" s="122">
        <v>2</v>
      </c>
    </row>
    <row r="8" spans="1:9" ht="12.75">
      <c r="A8" s="119">
        <f t="shared" si="1"/>
        <v>5</v>
      </c>
      <c r="B8" s="120" t="s">
        <v>105</v>
      </c>
      <c r="C8" s="126" t="s">
        <v>115</v>
      </c>
      <c r="D8" s="122">
        <v>1.6</v>
      </c>
      <c r="F8" s="119">
        <f t="shared" si="0"/>
        <v>44.29999999999999</v>
      </c>
      <c r="G8" s="123" t="s">
        <v>108</v>
      </c>
      <c r="H8" s="124" t="s">
        <v>116</v>
      </c>
      <c r="I8" s="122">
        <v>0.4</v>
      </c>
    </row>
    <row r="9" spans="1:9" ht="12.75">
      <c r="A9" s="119">
        <f t="shared" si="1"/>
        <v>6.6</v>
      </c>
      <c r="B9" s="120" t="s">
        <v>105</v>
      </c>
      <c r="C9" s="126" t="s">
        <v>117</v>
      </c>
      <c r="D9" s="122">
        <v>0.7</v>
      </c>
      <c r="F9" s="119">
        <f t="shared" si="0"/>
        <v>44.69999999999999</v>
      </c>
      <c r="G9" s="127" t="s">
        <v>105</v>
      </c>
      <c r="H9" s="128" t="s">
        <v>118</v>
      </c>
      <c r="I9" s="129">
        <v>1.6</v>
      </c>
    </row>
    <row r="10" spans="1:9" ht="12.75">
      <c r="A10" s="119">
        <f t="shared" si="1"/>
        <v>7.3</v>
      </c>
      <c r="B10" s="120" t="s">
        <v>102</v>
      </c>
      <c r="C10" s="126" t="s">
        <v>119</v>
      </c>
      <c r="D10" s="122">
        <v>1.5</v>
      </c>
      <c r="F10" s="119">
        <f t="shared" si="0"/>
        <v>46.29999999999999</v>
      </c>
      <c r="G10" s="127" t="s">
        <v>108</v>
      </c>
      <c r="H10" s="128" t="s">
        <v>120</v>
      </c>
      <c r="I10" s="129">
        <v>0.1</v>
      </c>
    </row>
    <row r="11" spans="1:9" ht="12.75">
      <c r="A11" s="119">
        <f t="shared" si="1"/>
        <v>8.8</v>
      </c>
      <c r="B11" s="120" t="s">
        <v>108</v>
      </c>
      <c r="C11" s="126" t="s">
        <v>121</v>
      </c>
      <c r="D11" s="122">
        <v>0.4</v>
      </c>
      <c r="F11" s="119">
        <f t="shared" si="0"/>
        <v>46.39999999999999</v>
      </c>
      <c r="G11" s="127" t="s">
        <v>105</v>
      </c>
      <c r="H11" s="128" t="s">
        <v>122</v>
      </c>
      <c r="I11" s="129">
        <v>2.1</v>
      </c>
    </row>
    <row r="12" spans="1:9" ht="12.75">
      <c r="A12" s="119">
        <f t="shared" si="1"/>
        <v>9.200000000000001</v>
      </c>
      <c r="B12" s="127" t="s">
        <v>105</v>
      </c>
      <c r="C12" s="128" t="s">
        <v>123</v>
      </c>
      <c r="D12" s="129">
        <v>0.1</v>
      </c>
      <c r="F12" s="119">
        <f t="shared" si="0"/>
        <v>48.49999999999999</v>
      </c>
      <c r="G12" s="127" t="s">
        <v>105</v>
      </c>
      <c r="H12" s="128" t="s">
        <v>124</v>
      </c>
      <c r="I12" s="129">
        <v>1.2</v>
      </c>
    </row>
    <row r="13" spans="1:9" ht="12.75">
      <c r="A13" s="119">
        <f t="shared" si="1"/>
        <v>9.3</v>
      </c>
      <c r="B13" s="127" t="s">
        <v>108</v>
      </c>
      <c r="C13" s="128" t="s">
        <v>125</v>
      </c>
      <c r="D13" s="129">
        <v>0.5</v>
      </c>
      <c r="F13" s="119">
        <f t="shared" si="0"/>
        <v>49.699999999999996</v>
      </c>
      <c r="G13" s="127" t="s">
        <v>105</v>
      </c>
      <c r="H13" s="128" t="s">
        <v>126</v>
      </c>
      <c r="I13" s="129">
        <v>1.1</v>
      </c>
    </row>
    <row r="14" spans="1:9" ht="12.75">
      <c r="A14" s="119">
        <f t="shared" si="1"/>
        <v>9.8</v>
      </c>
      <c r="B14" s="127" t="s">
        <v>105</v>
      </c>
      <c r="C14" s="128" t="s">
        <v>127</v>
      </c>
      <c r="D14" s="129">
        <v>0.3</v>
      </c>
      <c r="F14" s="119">
        <f t="shared" si="0"/>
        <v>50.8</v>
      </c>
      <c r="G14" s="127" t="s">
        <v>108</v>
      </c>
      <c r="H14" s="128" t="s">
        <v>128</v>
      </c>
      <c r="I14" s="129">
        <v>0.1</v>
      </c>
    </row>
    <row r="15" spans="1:9" ht="12.75">
      <c r="A15" s="119">
        <f t="shared" si="1"/>
        <v>10.100000000000001</v>
      </c>
      <c r="B15" s="127" t="s">
        <v>108</v>
      </c>
      <c r="C15" s="128" t="s">
        <v>129</v>
      </c>
      <c r="D15" s="129">
        <v>1.7</v>
      </c>
      <c r="F15" s="119">
        <f t="shared" si="0"/>
        <v>50.9</v>
      </c>
      <c r="G15" s="127" t="s">
        <v>108</v>
      </c>
      <c r="H15" s="128" t="s">
        <v>130</v>
      </c>
      <c r="I15" s="129">
        <v>4.6</v>
      </c>
    </row>
    <row r="16" spans="1:9" ht="12.75">
      <c r="A16" s="119">
        <f t="shared" si="1"/>
        <v>11.8</v>
      </c>
      <c r="B16" s="127" t="s">
        <v>105</v>
      </c>
      <c r="C16" s="128" t="s">
        <v>131</v>
      </c>
      <c r="D16" s="129">
        <v>1</v>
      </c>
      <c r="F16" s="119">
        <f t="shared" si="0"/>
        <v>55.5</v>
      </c>
      <c r="G16" s="127" t="s">
        <v>108</v>
      </c>
      <c r="H16" s="128" t="s">
        <v>132</v>
      </c>
      <c r="I16" s="129">
        <v>0.1</v>
      </c>
    </row>
    <row r="17" spans="1:9" ht="12.75">
      <c r="A17" s="119">
        <f t="shared" si="1"/>
        <v>12.8</v>
      </c>
      <c r="B17" s="127" t="s">
        <v>108</v>
      </c>
      <c r="C17" s="128" t="s">
        <v>133</v>
      </c>
      <c r="D17" s="129">
        <v>0.2</v>
      </c>
      <c r="F17" s="119">
        <f t="shared" si="0"/>
        <v>55.6</v>
      </c>
      <c r="G17" s="130" t="s">
        <v>102</v>
      </c>
      <c r="H17" s="131" t="s">
        <v>134</v>
      </c>
      <c r="I17" s="129">
        <v>0.6</v>
      </c>
    </row>
    <row r="18" spans="1:9" ht="12.75">
      <c r="A18" s="119">
        <f t="shared" si="1"/>
        <v>13</v>
      </c>
      <c r="B18" s="127" t="s">
        <v>105</v>
      </c>
      <c r="C18" s="128" t="s">
        <v>135</v>
      </c>
      <c r="D18" s="129">
        <v>1.1</v>
      </c>
      <c r="F18" s="132"/>
      <c r="G18" s="123"/>
      <c r="H18" s="125"/>
      <c r="I18" s="122"/>
    </row>
    <row r="19" spans="1:9" ht="12.75">
      <c r="A19" s="119">
        <f t="shared" si="1"/>
        <v>14.1</v>
      </c>
      <c r="B19" s="127" t="s">
        <v>102</v>
      </c>
      <c r="C19" s="128" t="s">
        <v>136</v>
      </c>
      <c r="D19" s="129">
        <v>2.8</v>
      </c>
      <c r="F19" s="132">
        <f>F17+I17</f>
        <v>56.2</v>
      </c>
      <c r="G19" s="123"/>
      <c r="H19" s="125" t="s">
        <v>137</v>
      </c>
      <c r="I19" s="122"/>
    </row>
    <row r="20" spans="1:9" ht="12.75">
      <c r="A20" s="119">
        <f t="shared" si="1"/>
        <v>16.9</v>
      </c>
      <c r="B20" s="127" t="s">
        <v>108</v>
      </c>
      <c r="C20" s="128" t="s">
        <v>114</v>
      </c>
      <c r="D20" s="129">
        <v>0.9</v>
      </c>
      <c r="F20" s="119"/>
      <c r="G20" s="123"/>
      <c r="H20" s="125" t="s">
        <v>138</v>
      </c>
      <c r="I20" s="122"/>
    </row>
    <row r="21" spans="1:9" ht="12.75">
      <c r="A21" s="119">
        <f t="shared" si="1"/>
        <v>17.799999999999997</v>
      </c>
      <c r="B21" s="127" t="s">
        <v>105</v>
      </c>
      <c r="C21" s="128" t="s">
        <v>139</v>
      </c>
      <c r="D21" s="129">
        <v>2.4</v>
      </c>
      <c r="F21" s="133"/>
      <c r="G21" s="123"/>
      <c r="H21" s="124"/>
      <c r="I21" s="134"/>
    </row>
    <row r="22" spans="1:9" ht="12.75">
      <c r="A22" s="119">
        <f t="shared" si="1"/>
        <v>20.199999999999996</v>
      </c>
      <c r="B22" s="127" t="s">
        <v>108</v>
      </c>
      <c r="C22" s="128" t="s">
        <v>140</v>
      </c>
      <c r="D22" s="129">
        <v>1.2</v>
      </c>
      <c r="F22" s="133"/>
      <c r="G22" s="123"/>
      <c r="H22" s="124"/>
      <c r="I22" s="122"/>
    </row>
    <row r="23" spans="1:9" ht="12.75">
      <c r="A23" s="135">
        <f t="shared" si="1"/>
        <v>21.399999999999995</v>
      </c>
      <c r="B23" s="136" t="s">
        <v>105</v>
      </c>
      <c r="C23" s="137" t="s">
        <v>141</v>
      </c>
      <c r="D23" s="138">
        <v>0.4</v>
      </c>
      <c r="F23" s="135"/>
      <c r="G23" s="139"/>
      <c r="H23" s="140"/>
      <c r="I23" s="138"/>
    </row>
    <row r="24" spans="1:9" ht="4.5" customHeight="1">
      <c r="A24" s="141"/>
      <c r="B24" s="142"/>
      <c r="C24" s="143"/>
      <c r="D24" s="141"/>
      <c r="F24" s="141"/>
      <c r="G24" s="142"/>
      <c r="H24" s="143"/>
      <c r="I24" s="141"/>
    </row>
    <row r="25" spans="1:9" ht="60.75">
      <c r="A25" s="115" t="s">
        <v>97</v>
      </c>
      <c r="B25" s="116" t="s">
        <v>98</v>
      </c>
      <c r="C25" s="117" t="s">
        <v>99</v>
      </c>
      <c r="D25" s="118" t="s">
        <v>100</v>
      </c>
      <c r="F25" s="115" t="s">
        <v>97</v>
      </c>
      <c r="G25" s="116" t="s">
        <v>98</v>
      </c>
      <c r="H25" s="117" t="s">
        <v>99</v>
      </c>
      <c r="I25" s="118" t="s">
        <v>100</v>
      </c>
    </row>
    <row r="26" spans="1:104" s="146" customFormat="1" ht="12.75">
      <c r="A26" s="133">
        <f>F19+I19</f>
        <v>56.2</v>
      </c>
      <c r="B26" s="144" t="s">
        <v>102</v>
      </c>
      <c r="C26" s="145" t="s">
        <v>142</v>
      </c>
      <c r="D26" s="134">
        <v>0.6</v>
      </c>
      <c r="E26"/>
      <c r="F26" s="119">
        <f>A46+D46</f>
        <v>94.60000000000001</v>
      </c>
      <c r="G26" s="123" t="s">
        <v>143</v>
      </c>
      <c r="H26" s="124" t="s">
        <v>144</v>
      </c>
      <c r="I26" s="122">
        <v>8.4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s="146" customFormat="1" ht="12.75">
      <c r="A27" s="133">
        <f aca="true" t="shared" si="2" ref="A27:A34">A26+D26</f>
        <v>56.800000000000004</v>
      </c>
      <c r="B27" s="144" t="s">
        <v>102</v>
      </c>
      <c r="C27" s="145" t="s">
        <v>145</v>
      </c>
      <c r="D27" s="134">
        <v>0.1</v>
      </c>
      <c r="E27"/>
      <c r="F27" s="119">
        <f aca="true" t="shared" si="3" ref="F27:F35">F26+I26</f>
        <v>103.00000000000001</v>
      </c>
      <c r="G27" s="123" t="s">
        <v>105</v>
      </c>
      <c r="H27" s="126" t="s">
        <v>146</v>
      </c>
      <c r="I27" s="122">
        <v>5.3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04" s="146" customFormat="1" ht="12.75">
      <c r="A28" s="133">
        <f t="shared" si="2"/>
        <v>56.900000000000006</v>
      </c>
      <c r="B28" s="144" t="s">
        <v>102</v>
      </c>
      <c r="C28" s="145" t="s">
        <v>147</v>
      </c>
      <c r="D28" s="134">
        <v>1.7</v>
      </c>
      <c r="E28"/>
      <c r="F28" s="119">
        <f t="shared" si="3"/>
        <v>108.30000000000001</v>
      </c>
      <c r="G28" s="120" t="s">
        <v>105</v>
      </c>
      <c r="H28" s="126" t="s">
        <v>148</v>
      </c>
      <c r="I28" s="122">
        <v>5.1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146" customFormat="1" ht="12.75">
      <c r="A29" s="133">
        <f t="shared" si="2"/>
        <v>58.60000000000001</v>
      </c>
      <c r="B29" s="120" t="s">
        <v>108</v>
      </c>
      <c r="C29" s="126" t="s">
        <v>149</v>
      </c>
      <c r="D29" s="122">
        <v>1.6</v>
      </c>
      <c r="E29"/>
      <c r="F29" s="119">
        <f t="shared" si="3"/>
        <v>113.4</v>
      </c>
      <c r="G29" s="120" t="s">
        <v>102</v>
      </c>
      <c r="H29" s="126" t="s">
        <v>150</v>
      </c>
      <c r="I29" s="122">
        <v>5.1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146" customFormat="1" ht="12.75">
      <c r="A30" s="133">
        <f t="shared" si="2"/>
        <v>60.20000000000001</v>
      </c>
      <c r="B30" s="120" t="s">
        <v>108</v>
      </c>
      <c r="C30" s="126" t="s">
        <v>151</v>
      </c>
      <c r="D30" s="122">
        <v>1.1</v>
      </c>
      <c r="E30"/>
      <c r="F30" s="119">
        <f t="shared" si="3"/>
        <v>118.5</v>
      </c>
      <c r="G30" s="120" t="s">
        <v>105</v>
      </c>
      <c r="H30" s="126" t="s">
        <v>152</v>
      </c>
      <c r="I30" s="122">
        <v>1.4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s="146" customFormat="1" ht="12.75">
      <c r="A31" s="133">
        <f t="shared" si="2"/>
        <v>61.30000000000001</v>
      </c>
      <c r="B31" s="120" t="s">
        <v>108</v>
      </c>
      <c r="C31" s="126" t="s">
        <v>153</v>
      </c>
      <c r="D31" s="122">
        <v>1.1</v>
      </c>
      <c r="E31"/>
      <c r="F31" s="119">
        <f t="shared" si="3"/>
        <v>119.9</v>
      </c>
      <c r="G31" s="120" t="s">
        <v>108</v>
      </c>
      <c r="H31" s="126" t="s">
        <v>154</v>
      </c>
      <c r="I31" s="122">
        <v>4.6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146" customFormat="1" ht="12.75">
      <c r="A32" s="133">
        <f t="shared" si="2"/>
        <v>62.40000000000001</v>
      </c>
      <c r="B32" s="120" t="s">
        <v>102</v>
      </c>
      <c r="C32" s="126" t="s">
        <v>155</v>
      </c>
      <c r="D32" s="122">
        <v>5.5</v>
      </c>
      <c r="E32"/>
      <c r="F32" s="119">
        <f t="shared" si="3"/>
        <v>124.5</v>
      </c>
      <c r="G32" s="120" t="s">
        <v>105</v>
      </c>
      <c r="H32" s="126" t="s">
        <v>156</v>
      </c>
      <c r="I32" s="122">
        <v>6.1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146" customFormat="1" ht="12.75">
      <c r="A33" s="133">
        <f t="shared" si="2"/>
        <v>67.9</v>
      </c>
      <c r="B33" s="120" t="s">
        <v>108</v>
      </c>
      <c r="C33" s="126" t="s">
        <v>157</v>
      </c>
      <c r="D33" s="122">
        <v>0</v>
      </c>
      <c r="E33"/>
      <c r="F33" s="119">
        <f t="shared" si="3"/>
        <v>130.6</v>
      </c>
      <c r="G33" s="120" t="s">
        <v>108</v>
      </c>
      <c r="H33" s="126" t="s">
        <v>158</v>
      </c>
      <c r="I33" s="122">
        <v>0.5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s="146" customFormat="1" ht="12.75">
      <c r="A34" s="133">
        <f t="shared" si="2"/>
        <v>67.9</v>
      </c>
      <c r="B34" s="120" t="s">
        <v>105</v>
      </c>
      <c r="C34" s="126" t="s">
        <v>159</v>
      </c>
      <c r="D34" s="122">
        <v>0.9</v>
      </c>
      <c r="E34"/>
      <c r="F34" s="119">
        <f t="shared" si="3"/>
        <v>131.1</v>
      </c>
      <c r="G34" s="120" t="s">
        <v>105</v>
      </c>
      <c r="H34" s="126" t="s">
        <v>160</v>
      </c>
      <c r="I34" s="122">
        <v>0.8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146" customFormat="1" ht="12.75">
      <c r="A35" s="133"/>
      <c r="B35" s="120"/>
      <c r="C35" s="126" t="s">
        <v>161</v>
      </c>
      <c r="D35" s="122"/>
      <c r="E35"/>
      <c r="F35" s="119">
        <f t="shared" si="3"/>
        <v>131.9</v>
      </c>
      <c r="G35" s="120" t="s">
        <v>108</v>
      </c>
      <c r="H35" s="126" t="s">
        <v>162</v>
      </c>
      <c r="I35" s="122">
        <v>5.3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146" customFormat="1" ht="12.75">
      <c r="A36" s="133">
        <f>A34+D34</f>
        <v>68.80000000000001</v>
      </c>
      <c r="B36" s="123" t="s">
        <v>102</v>
      </c>
      <c r="C36" s="124" t="s">
        <v>163</v>
      </c>
      <c r="D36" s="122">
        <v>0.4</v>
      </c>
      <c r="E36"/>
      <c r="F36" s="119">
        <f>F35+I35</f>
        <v>137.20000000000002</v>
      </c>
      <c r="G36" s="120" t="s">
        <v>105</v>
      </c>
      <c r="H36" s="126" t="s">
        <v>164</v>
      </c>
      <c r="I36" s="122">
        <v>0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146" customFormat="1" ht="12.75">
      <c r="A37" s="133">
        <f aca="true" t="shared" si="4" ref="A37:A44">A36+D36</f>
        <v>69.20000000000002</v>
      </c>
      <c r="B37" s="123" t="s">
        <v>102</v>
      </c>
      <c r="C37" s="124" t="s">
        <v>155</v>
      </c>
      <c r="D37" s="122">
        <v>4.2</v>
      </c>
      <c r="E37"/>
      <c r="F37" s="119"/>
      <c r="G37" s="120"/>
      <c r="H37" s="121"/>
      <c r="I37" s="122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146" customFormat="1" ht="12.75">
      <c r="A38" s="133">
        <f t="shared" si="4"/>
        <v>73.40000000000002</v>
      </c>
      <c r="B38" s="123" t="s">
        <v>105</v>
      </c>
      <c r="C38" s="124" t="s">
        <v>165</v>
      </c>
      <c r="D38" s="122">
        <v>0.6</v>
      </c>
      <c r="E38"/>
      <c r="F38" s="147">
        <f>F36+I36</f>
        <v>137.20000000000002</v>
      </c>
      <c r="G38" s="127"/>
      <c r="H38" s="148" t="s">
        <v>166</v>
      </c>
      <c r="I38" s="149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146" customFormat="1" ht="12.75">
      <c r="A39" s="133">
        <f t="shared" si="4"/>
        <v>74.00000000000001</v>
      </c>
      <c r="B39" s="123" t="s">
        <v>108</v>
      </c>
      <c r="C39" s="124" t="s">
        <v>167</v>
      </c>
      <c r="D39" s="122">
        <v>2.5</v>
      </c>
      <c r="E39"/>
      <c r="F39" s="132"/>
      <c r="G39" s="125"/>
      <c r="H39" s="148" t="s">
        <v>31</v>
      </c>
      <c r="I39" s="150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s="146" customFormat="1" ht="12.75">
      <c r="A40" s="133">
        <f t="shared" si="4"/>
        <v>76.50000000000001</v>
      </c>
      <c r="B40" s="123" t="s">
        <v>105</v>
      </c>
      <c r="C40" s="124" t="s">
        <v>168</v>
      </c>
      <c r="D40" s="122">
        <v>5.8</v>
      </c>
      <c r="E40"/>
      <c r="F40" s="119"/>
      <c r="G40" s="123"/>
      <c r="H40" s="124"/>
      <c r="I40" s="122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</row>
    <row r="41" spans="1:104" s="146" customFormat="1" ht="12.75">
      <c r="A41" s="133">
        <f t="shared" si="4"/>
        <v>82.30000000000001</v>
      </c>
      <c r="B41" s="123" t="s">
        <v>105</v>
      </c>
      <c r="C41" s="124" t="s">
        <v>169</v>
      </c>
      <c r="D41" s="122">
        <v>4.2</v>
      </c>
      <c r="E41"/>
      <c r="F41" s="119"/>
      <c r="G41" s="123"/>
      <c r="H41" s="124"/>
      <c r="I41" s="122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s="146" customFormat="1" ht="12.75">
      <c r="A42" s="133">
        <f t="shared" si="4"/>
        <v>86.50000000000001</v>
      </c>
      <c r="B42" s="123" t="s">
        <v>105</v>
      </c>
      <c r="C42" s="124" t="s">
        <v>170</v>
      </c>
      <c r="D42" s="122">
        <v>0.1</v>
      </c>
      <c r="E42"/>
      <c r="F42" s="119"/>
      <c r="G42" s="123"/>
      <c r="H42" s="124"/>
      <c r="I42" s="12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146" customFormat="1" ht="12.75">
      <c r="A43" s="133">
        <f t="shared" si="4"/>
        <v>86.60000000000001</v>
      </c>
      <c r="B43" s="123" t="s">
        <v>108</v>
      </c>
      <c r="C43" s="124" t="s">
        <v>171</v>
      </c>
      <c r="D43" s="122">
        <v>0.6</v>
      </c>
      <c r="E43"/>
      <c r="F43" s="119"/>
      <c r="G43" s="123"/>
      <c r="H43" s="124"/>
      <c r="I43" s="122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</row>
    <row r="44" spans="1:104" s="146" customFormat="1" ht="12.75">
      <c r="A44" s="133">
        <f t="shared" si="4"/>
        <v>87.2</v>
      </c>
      <c r="B44" s="123" t="s">
        <v>105</v>
      </c>
      <c r="C44" s="124" t="s">
        <v>172</v>
      </c>
      <c r="D44" s="122">
        <v>7.4</v>
      </c>
      <c r="E44"/>
      <c r="F44" s="119"/>
      <c r="G44" s="123"/>
      <c r="H44" s="124"/>
      <c r="I44" s="122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s="146" customFormat="1" ht="12.75">
      <c r="A45" s="119"/>
      <c r="B45" s="123"/>
      <c r="C45" s="124"/>
      <c r="D45" s="122"/>
      <c r="E45"/>
      <c r="F45" s="119"/>
      <c r="G45" s="123"/>
      <c r="H45" s="124"/>
      <c r="I45" s="122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146" customFormat="1" ht="12.75">
      <c r="A46" s="132">
        <f>A44+D44</f>
        <v>94.60000000000001</v>
      </c>
      <c r="B46" s="123"/>
      <c r="C46" s="125" t="s">
        <v>173</v>
      </c>
      <c r="D46" s="122"/>
      <c r="E46"/>
      <c r="F46" s="119"/>
      <c r="G46" s="123"/>
      <c r="H46" s="151"/>
      <c r="I46" s="122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</row>
    <row r="47" spans="1:9" ht="12.75">
      <c r="A47" s="135"/>
      <c r="B47" s="136"/>
      <c r="C47" s="152" t="s">
        <v>174</v>
      </c>
      <c r="D47" s="138"/>
      <c r="E47" s="153"/>
      <c r="F47" s="154"/>
      <c r="G47" s="139"/>
      <c r="H47" s="140"/>
      <c r="I47" s="138"/>
    </row>
    <row r="48" spans="1:9" s="91" customFormat="1" ht="3" customHeight="1">
      <c r="A48" s="155"/>
      <c r="B48" s="156"/>
      <c r="C48" s="157"/>
      <c r="D48" s="155"/>
      <c r="F48" s="155"/>
      <c r="G48" s="156"/>
      <c r="H48" s="157"/>
      <c r="I48" s="155"/>
    </row>
    <row r="49" spans="1:9" ht="60.75">
      <c r="A49" s="115" t="s">
        <v>97</v>
      </c>
      <c r="B49" s="116" t="s">
        <v>98</v>
      </c>
      <c r="C49" s="117" t="s">
        <v>99</v>
      </c>
      <c r="D49" s="118" t="s">
        <v>100</v>
      </c>
      <c r="F49" s="115" t="s">
        <v>97</v>
      </c>
      <c r="G49" s="116" t="s">
        <v>98</v>
      </c>
      <c r="H49" s="117" t="s">
        <v>99</v>
      </c>
      <c r="I49" s="118" t="s">
        <v>100</v>
      </c>
    </row>
    <row r="50" spans="1:9" ht="12.75">
      <c r="A50" s="119"/>
      <c r="B50" s="123" t="s">
        <v>102</v>
      </c>
      <c r="C50" s="124" t="s">
        <v>175</v>
      </c>
      <c r="D50" s="122">
        <v>2.2</v>
      </c>
      <c r="F50" s="119">
        <f>A64+D64</f>
        <v>181.60000000000002</v>
      </c>
      <c r="G50" s="123" t="s">
        <v>105</v>
      </c>
      <c r="H50" s="124" t="s">
        <v>176</v>
      </c>
      <c r="I50" s="122">
        <v>3.5</v>
      </c>
    </row>
    <row r="51" spans="1:9" ht="12.75">
      <c r="A51" s="119">
        <f>F38+D50</f>
        <v>139.4</v>
      </c>
      <c r="B51" s="123" t="s">
        <v>108</v>
      </c>
      <c r="C51" s="124" t="s">
        <v>177</v>
      </c>
      <c r="D51" s="122">
        <v>0.9</v>
      </c>
      <c r="F51" s="119"/>
      <c r="G51" s="123"/>
      <c r="H51" s="124" t="s">
        <v>178</v>
      </c>
      <c r="I51" s="122"/>
    </row>
    <row r="52" spans="1:9" ht="12.75">
      <c r="A52" s="119">
        <f>A51+D51</f>
        <v>140.3</v>
      </c>
      <c r="B52" s="123" t="s">
        <v>108</v>
      </c>
      <c r="C52" s="124" t="s">
        <v>179</v>
      </c>
      <c r="D52" s="122">
        <v>4.7</v>
      </c>
      <c r="F52" s="119">
        <f>F50+I50</f>
        <v>185.10000000000002</v>
      </c>
      <c r="G52" s="123" t="s">
        <v>102</v>
      </c>
      <c r="H52" s="124" t="s">
        <v>180</v>
      </c>
      <c r="I52" s="122">
        <v>0.7</v>
      </c>
    </row>
    <row r="53" spans="1:9" ht="12.75">
      <c r="A53" s="119">
        <f>A52+D52</f>
        <v>145</v>
      </c>
      <c r="B53" s="123" t="s">
        <v>108</v>
      </c>
      <c r="C53" s="124" t="s">
        <v>181</v>
      </c>
      <c r="D53" s="122">
        <v>9</v>
      </c>
      <c r="F53" s="119">
        <f>F52+I52</f>
        <v>185.8</v>
      </c>
      <c r="G53" s="123" t="s">
        <v>105</v>
      </c>
      <c r="H53" s="124" t="s">
        <v>182</v>
      </c>
      <c r="I53" s="122">
        <v>1.4</v>
      </c>
    </row>
    <row r="54" spans="1:9" ht="12.75">
      <c r="A54" s="119">
        <f>A53+D53</f>
        <v>154</v>
      </c>
      <c r="B54" s="123" t="s">
        <v>108</v>
      </c>
      <c r="C54" s="124" t="s">
        <v>183</v>
      </c>
      <c r="D54" s="122">
        <v>4.3</v>
      </c>
      <c r="F54" s="119">
        <f>F53+I53</f>
        <v>187.20000000000002</v>
      </c>
      <c r="G54" s="123" t="s">
        <v>105</v>
      </c>
      <c r="H54" s="124" t="s">
        <v>184</v>
      </c>
      <c r="I54" s="122">
        <v>4.9</v>
      </c>
    </row>
    <row r="55" spans="1:9" ht="12.75">
      <c r="A55" s="119">
        <f>A54+D54</f>
        <v>158.3</v>
      </c>
      <c r="B55" s="123" t="s">
        <v>105</v>
      </c>
      <c r="C55" s="124" t="s">
        <v>185</v>
      </c>
      <c r="D55" s="122">
        <v>7</v>
      </c>
      <c r="F55" s="119">
        <f>F54+I54</f>
        <v>192.10000000000002</v>
      </c>
      <c r="G55" s="123" t="s">
        <v>108</v>
      </c>
      <c r="H55" s="124" t="s">
        <v>186</v>
      </c>
      <c r="I55" s="122">
        <v>1.6</v>
      </c>
    </row>
    <row r="56" spans="1:9" ht="12.75">
      <c r="A56" s="119"/>
      <c r="B56" s="123"/>
      <c r="C56" s="124" t="s">
        <v>187</v>
      </c>
      <c r="D56" s="122"/>
      <c r="F56" s="119">
        <f>F55+I55</f>
        <v>193.70000000000002</v>
      </c>
      <c r="G56" s="123" t="s">
        <v>105</v>
      </c>
      <c r="H56" s="124" t="s">
        <v>188</v>
      </c>
      <c r="I56" s="122">
        <v>14.9</v>
      </c>
    </row>
    <row r="57" spans="1:9" ht="12.75">
      <c r="A57" s="119">
        <f>A55+D55</f>
        <v>165.3</v>
      </c>
      <c r="B57" s="123" t="s">
        <v>102</v>
      </c>
      <c r="C57" s="124" t="s">
        <v>189</v>
      </c>
      <c r="D57" s="122">
        <v>2.2</v>
      </c>
      <c r="F57" s="119"/>
      <c r="G57" s="123"/>
      <c r="H57" s="124" t="s">
        <v>190</v>
      </c>
      <c r="I57" s="122"/>
    </row>
    <row r="58" spans="1:9" ht="12.75">
      <c r="A58" s="119">
        <f>A57+D57</f>
        <v>167.5</v>
      </c>
      <c r="B58" s="123" t="s">
        <v>105</v>
      </c>
      <c r="C58" s="124" t="s">
        <v>191</v>
      </c>
      <c r="D58" s="122">
        <v>0.9</v>
      </c>
      <c r="F58" s="119">
        <f>F56+I56</f>
        <v>208.60000000000002</v>
      </c>
      <c r="G58" s="123" t="s">
        <v>102</v>
      </c>
      <c r="H58" s="124" t="s">
        <v>192</v>
      </c>
      <c r="I58" s="122">
        <v>5.9</v>
      </c>
    </row>
    <row r="59" spans="1:9" ht="12.75">
      <c r="A59" s="119">
        <f>A58+D58</f>
        <v>168.4</v>
      </c>
      <c r="B59" s="123" t="s">
        <v>105</v>
      </c>
      <c r="C59" s="124" t="s">
        <v>193</v>
      </c>
      <c r="D59" s="122">
        <v>1.9</v>
      </c>
      <c r="F59" s="119">
        <f>F58+I58</f>
        <v>214.50000000000003</v>
      </c>
      <c r="G59" s="123" t="s">
        <v>105</v>
      </c>
      <c r="H59" s="124" t="s">
        <v>194</v>
      </c>
      <c r="I59" s="122">
        <v>1.7</v>
      </c>
    </row>
    <row r="60" spans="1:9" ht="12.75">
      <c r="A60" s="119"/>
      <c r="B60" s="123"/>
      <c r="C60" s="124" t="s">
        <v>187</v>
      </c>
      <c r="D60" s="122"/>
      <c r="F60" s="119">
        <f>F59+I59</f>
        <v>216.20000000000002</v>
      </c>
      <c r="G60" s="123" t="s">
        <v>105</v>
      </c>
      <c r="H60" s="124" t="s">
        <v>195</v>
      </c>
      <c r="I60" s="122">
        <v>0.4</v>
      </c>
    </row>
    <row r="61" spans="1:9" ht="12.75">
      <c r="A61" s="119">
        <f>A59+D59</f>
        <v>170.3</v>
      </c>
      <c r="B61" s="123" t="s">
        <v>102</v>
      </c>
      <c r="C61" s="124" t="s">
        <v>196</v>
      </c>
      <c r="D61" s="122">
        <v>7.4</v>
      </c>
      <c r="F61" s="119">
        <f>F60+I60</f>
        <v>216.60000000000002</v>
      </c>
      <c r="G61" s="123" t="s">
        <v>108</v>
      </c>
      <c r="H61" s="124" t="s">
        <v>197</v>
      </c>
      <c r="I61" s="122">
        <v>3.2</v>
      </c>
    </row>
    <row r="62" spans="1:9" ht="12.75">
      <c r="A62" s="119">
        <f>A61+D61</f>
        <v>177.70000000000002</v>
      </c>
      <c r="B62" s="123" t="s">
        <v>105</v>
      </c>
      <c r="C62" s="124" t="s">
        <v>198</v>
      </c>
      <c r="D62" s="122">
        <v>0.5</v>
      </c>
      <c r="F62" s="119">
        <f>F61+I61</f>
        <v>219.8</v>
      </c>
      <c r="G62" s="123" t="s">
        <v>105</v>
      </c>
      <c r="H62" s="124" t="s">
        <v>199</v>
      </c>
      <c r="I62" s="122">
        <v>3.4</v>
      </c>
    </row>
    <row r="63" spans="1:9" ht="12.75">
      <c r="A63" s="119">
        <f>A62+D62</f>
        <v>178.20000000000002</v>
      </c>
      <c r="B63" s="158" t="s">
        <v>105</v>
      </c>
      <c r="C63" s="159" t="s">
        <v>200</v>
      </c>
      <c r="D63" s="122">
        <v>3.4</v>
      </c>
      <c r="F63" s="119">
        <f>F62+I62</f>
        <v>223.20000000000002</v>
      </c>
      <c r="G63" s="123" t="s">
        <v>105</v>
      </c>
      <c r="H63" s="124" t="s">
        <v>201</v>
      </c>
      <c r="I63" s="122">
        <v>8</v>
      </c>
    </row>
    <row r="64" spans="1:9" ht="12.75">
      <c r="A64" s="119">
        <f>A63+D63</f>
        <v>181.60000000000002</v>
      </c>
      <c r="B64" s="123" t="s">
        <v>108</v>
      </c>
      <c r="C64" s="124" t="s">
        <v>202</v>
      </c>
      <c r="D64" s="122">
        <v>0</v>
      </c>
      <c r="F64" s="119"/>
      <c r="G64" s="123"/>
      <c r="H64" s="124"/>
      <c r="I64" s="122"/>
    </row>
    <row r="65" spans="1:9" ht="12.75">
      <c r="A65" s="119"/>
      <c r="B65" s="123"/>
      <c r="C65" s="124"/>
      <c r="D65" s="122"/>
      <c r="F65" s="132">
        <f>F63+I63</f>
        <v>231.20000000000002</v>
      </c>
      <c r="G65" s="125" t="s">
        <v>105</v>
      </c>
      <c r="H65" s="125" t="s">
        <v>203</v>
      </c>
      <c r="I65" s="150"/>
    </row>
    <row r="66" spans="1:9" ht="12.75">
      <c r="A66" s="132">
        <f>A64+D64</f>
        <v>181.60000000000002</v>
      </c>
      <c r="B66" s="125" t="s">
        <v>105</v>
      </c>
      <c r="C66" s="125" t="s">
        <v>204</v>
      </c>
      <c r="D66" s="150"/>
      <c r="F66" s="132"/>
      <c r="G66" s="125"/>
      <c r="H66" s="125" t="s">
        <v>205</v>
      </c>
      <c r="I66" s="150"/>
    </row>
    <row r="67" spans="1:9" ht="12.75">
      <c r="A67" s="132"/>
      <c r="B67" s="125"/>
      <c r="C67" s="125" t="s">
        <v>206</v>
      </c>
      <c r="D67" s="150"/>
      <c r="F67" s="119"/>
      <c r="G67" s="123"/>
      <c r="H67" s="124"/>
      <c r="I67" s="122"/>
    </row>
    <row r="68" spans="1:9" ht="12.75">
      <c r="A68" s="119"/>
      <c r="B68" s="123"/>
      <c r="C68" s="124"/>
      <c r="D68" s="122"/>
      <c r="F68" s="119"/>
      <c r="G68" s="123"/>
      <c r="H68" s="124"/>
      <c r="I68" s="122"/>
    </row>
    <row r="69" spans="1:9" ht="12.75">
      <c r="A69" s="119"/>
      <c r="B69" s="123"/>
      <c r="C69" s="124"/>
      <c r="D69" s="122"/>
      <c r="F69" s="119"/>
      <c r="G69" s="123"/>
      <c r="H69" s="124"/>
      <c r="I69" s="122"/>
    </row>
    <row r="70" spans="1:9" ht="12.75">
      <c r="A70" s="119"/>
      <c r="B70" s="123"/>
      <c r="C70" s="124"/>
      <c r="D70" s="122"/>
      <c r="F70" s="119"/>
      <c r="G70" s="123"/>
      <c r="H70" s="124"/>
      <c r="I70" s="122"/>
    </row>
    <row r="71" spans="1:9" ht="12.75">
      <c r="A71" s="154"/>
      <c r="B71" s="139"/>
      <c r="C71" s="140"/>
      <c r="D71" s="138"/>
      <c r="F71" s="154"/>
      <c r="G71" s="139"/>
      <c r="H71" s="140"/>
      <c r="I71" s="138"/>
    </row>
    <row r="72" ht="3" customHeight="1"/>
    <row r="73" spans="1:9" ht="60.75">
      <c r="A73" s="115" t="s">
        <v>97</v>
      </c>
      <c r="B73" s="116" t="s">
        <v>98</v>
      </c>
      <c r="C73" s="117" t="s">
        <v>99</v>
      </c>
      <c r="D73" s="118" t="s">
        <v>100</v>
      </c>
      <c r="F73" s="115" t="s">
        <v>97</v>
      </c>
      <c r="G73" s="116" t="s">
        <v>98</v>
      </c>
      <c r="H73" s="117" t="s">
        <v>99</v>
      </c>
      <c r="I73" s="118" t="s">
        <v>100</v>
      </c>
    </row>
    <row r="74" spans="1:9" ht="12.75">
      <c r="A74" s="119">
        <f>F65+I65</f>
        <v>231.20000000000002</v>
      </c>
      <c r="B74" s="123" t="s">
        <v>143</v>
      </c>
      <c r="C74" s="124" t="s">
        <v>207</v>
      </c>
      <c r="D74" s="122"/>
      <c r="F74" s="132">
        <f>A93+D93</f>
        <v>312.0999999999999</v>
      </c>
      <c r="G74" s="125" t="s">
        <v>105</v>
      </c>
      <c r="H74" s="125" t="s">
        <v>208</v>
      </c>
      <c r="I74" s="150"/>
    </row>
    <row r="75" spans="1:9" ht="12.75">
      <c r="A75" s="119">
        <f>A74+D74</f>
        <v>231.20000000000002</v>
      </c>
      <c r="B75" s="123" t="s">
        <v>102</v>
      </c>
      <c r="C75" s="124" t="s">
        <v>36</v>
      </c>
      <c r="D75" s="122">
        <v>14.2</v>
      </c>
      <c r="F75" s="119"/>
      <c r="G75" s="125"/>
      <c r="H75" s="125" t="s">
        <v>104</v>
      </c>
      <c r="I75" s="150"/>
    </row>
    <row r="76" spans="1:9" ht="12.75">
      <c r="A76" s="119">
        <f>A75+D75</f>
        <v>245.4</v>
      </c>
      <c r="B76" s="123" t="s">
        <v>105</v>
      </c>
      <c r="C76" s="124" t="s">
        <v>209</v>
      </c>
      <c r="D76" s="122">
        <v>25.9</v>
      </c>
      <c r="F76" s="119"/>
      <c r="G76" s="123"/>
      <c r="H76" s="124"/>
      <c r="I76" s="122"/>
    </row>
    <row r="77" spans="1:9" ht="12.75">
      <c r="A77" s="119"/>
      <c r="B77" s="123"/>
      <c r="C77" s="124" t="s">
        <v>210</v>
      </c>
      <c r="D77" s="122"/>
      <c r="F77" s="119"/>
      <c r="G77" s="123"/>
      <c r="H77" s="124"/>
      <c r="I77" s="122"/>
    </row>
    <row r="78" spans="1:9" ht="12.75">
      <c r="A78" s="119">
        <f>A76+D76</f>
        <v>271.3</v>
      </c>
      <c r="B78" s="123" t="s">
        <v>102</v>
      </c>
      <c r="C78" s="124" t="s">
        <v>211</v>
      </c>
      <c r="D78" s="122">
        <v>0.4</v>
      </c>
      <c r="F78" s="119"/>
      <c r="G78" s="123"/>
      <c r="H78" s="124"/>
      <c r="I78" s="122"/>
    </row>
    <row r="79" spans="1:9" ht="12.75">
      <c r="A79" s="119">
        <f>A78+D78</f>
        <v>271.7</v>
      </c>
      <c r="B79" s="123" t="s">
        <v>105</v>
      </c>
      <c r="C79" s="124" t="s">
        <v>212</v>
      </c>
      <c r="D79" s="122">
        <v>2.7</v>
      </c>
      <c r="F79" s="119"/>
      <c r="G79" s="123"/>
      <c r="H79" s="124"/>
      <c r="I79" s="122"/>
    </row>
    <row r="80" spans="1:9" ht="12.75">
      <c r="A80" s="119">
        <f aca="true" t="shared" si="5" ref="A80:A89">A79+D79</f>
        <v>274.4</v>
      </c>
      <c r="B80" s="123" t="s">
        <v>108</v>
      </c>
      <c r="C80" s="160" t="s">
        <v>213</v>
      </c>
      <c r="D80" s="122">
        <v>3</v>
      </c>
      <c r="F80" s="132"/>
      <c r="G80" s="125"/>
      <c r="H80" s="125"/>
      <c r="I80" s="150"/>
    </row>
    <row r="81" spans="1:9" ht="12.75">
      <c r="A81" s="119">
        <f t="shared" si="5"/>
        <v>277.4</v>
      </c>
      <c r="B81" s="123" t="s">
        <v>102</v>
      </c>
      <c r="C81" s="124" t="s">
        <v>214</v>
      </c>
      <c r="D81" s="122">
        <v>7.2</v>
      </c>
      <c r="F81" s="119"/>
      <c r="G81" s="125"/>
      <c r="H81" s="125"/>
      <c r="I81" s="150"/>
    </row>
    <row r="82" spans="1:9" ht="12.75">
      <c r="A82" s="119">
        <f t="shared" si="5"/>
        <v>284.59999999999997</v>
      </c>
      <c r="B82" s="123" t="s">
        <v>102</v>
      </c>
      <c r="C82" s="124" t="s">
        <v>215</v>
      </c>
      <c r="D82" s="122">
        <v>9.3</v>
      </c>
      <c r="F82" s="119"/>
      <c r="G82" s="123"/>
      <c r="H82" s="124"/>
      <c r="I82" s="122"/>
    </row>
    <row r="83" spans="1:9" ht="12.75">
      <c r="A83" s="119">
        <f t="shared" si="5"/>
        <v>293.9</v>
      </c>
      <c r="B83" s="123" t="s">
        <v>108</v>
      </c>
      <c r="C83" s="124" t="s">
        <v>216</v>
      </c>
      <c r="D83" s="122">
        <v>2.7</v>
      </c>
      <c r="F83" s="119"/>
      <c r="G83" s="123"/>
      <c r="H83" s="124"/>
      <c r="I83" s="122"/>
    </row>
    <row r="84" spans="1:9" ht="12.75">
      <c r="A84" s="119">
        <f t="shared" si="5"/>
        <v>296.59999999999997</v>
      </c>
      <c r="B84" s="123" t="s">
        <v>108</v>
      </c>
      <c r="C84" s="124" t="s">
        <v>217</v>
      </c>
      <c r="D84" s="122">
        <v>0.1</v>
      </c>
      <c r="F84" s="119"/>
      <c r="G84" s="123"/>
      <c r="H84" s="124"/>
      <c r="I84" s="122"/>
    </row>
    <row r="85" spans="1:9" ht="12.75">
      <c r="A85" s="119">
        <f t="shared" si="5"/>
        <v>296.7</v>
      </c>
      <c r="B85" s="123" t="s">
        <v>105</v>
      </c>
      <c r="C85" s="124" t="s">
        <v>218</v>
      </c>
      <c r="D85" s="122">
        <v>1.9</v>
      </c>
      <c r="F85" s="119"/>
      <c r="G85" s="123"/>
      <c r="H85" s="124"/>
      <c r="I85" s="122"/>
    </row>
    <row r="86" spans="1:9" ht="12.75">
      <c r="A86" s="119">
        <f t="shared" si="5"/>
        <v>298.59999999999997</v>
      </c>
      <c r="B86" s="123" t="s">
        <v>102</v>
      </c>
      <c r="C86" s="124" t="s">
        <v>219</v>
      </c>
      <c r="D86" s="122">
        <v>0</v>
      </c>
      <c r="F86" s="119"/>
      <c r="G86" s="123"/>
      <c r="H86" s="124"/>
      <c r="I86" s="134"/>
    </row>
    <row r="87" spans="1:9" ht="12.75">
      <c r="A87" s="119">
        <f t="shared" si="5"/>
        <v>298.59999999999997</v>
      </c>
      <c r="B87" s="123" t="s">
        <v>105</v>
      </c>
      <c r="C87" s="124" t="s">
        <v>220</v>
      </c>
      <c r="D87" s="122">
        <v>2.4</v>
      </c>
      <c r="F87" s="119"/>
      <c r="G87" s="123"/>
      <c r="H87" s="124"/>
      <c r="I87" s="134"/>
    </row>
    <row r="88" spans="1:9" ht="12.75">
      <c r="A88" s="119">
        <f t="shared" si="5"/>
        <v>300.99999999999994</v>
      </c>
      <c r="B88" s="123" t="s">
        <v>108</v>
      </c>
      <c r="C88" s="124" t="s">
        <v>221</v>
      </c>
      <c r="D88" s="122">
        <v>1.2</v>
      </c>
      <c r="F88" s="119"/>
      <c r="G88" s="123"/>
      <c r="H88" s="124"/>
      <c r="I88" s="122"/>
    </row>
    <row r="89" spans="1:9" ht="12.75">
      <c r="A89" s="119">
        <f t="shared" si="5"/>
        <v>302.19999999999993</v>
      </c>
      <c r="B89" s="123" t="s">
        <v>105</v>
      </c>
      <c r="C89" s="124" t="s">
        <v>222</v>
      </c>
      <c r="D89" s="122">
        <v>1.7</v>
      </c>
      <c r="F89" s="119"/>
      <c r="G89" s="123"/>
      <c r="H89" s="124"/>
      <c r="I89" s="122"/>
    </row>
    <row r="90" spans="1:9" ht="12.75">
      <c r="A90" s="119">
        <f>A89+D89</f>
        <v>303.8999999999999</v>
      </c>
      <c r="B90" s="123" t="s">
        <v>108</v>
      </c>
      <c r="C90" s="124" t="s">
        <v>223</v>
      </c>
      <c r="D90" s="122">
        <v>1.5</v>
      </c>
      <c r="F90" s="119"/>
      <c r="G90" s="123"/>
      <c r="H90" s="124"/>
      <c r="I90" s="122"/>
    </row>
    <row r="91" spans="1:9" ht="12.75">
      <c r="A91" s="119">
        <f>A90+D90</f>
        <v>305.3999999999999</v>
      </c>
      <c r="B91" s="123" t="s">
        <v>108</v>
      </c>
      <c r="C91" s="124" t="s">
        <v>224</v>
      </c>
      <c r="D91" s="134">
        <v>6.5</v>
      </c>
      <c r="F91" s="119"/>
      <c r="G91" s="123"/>
      <c r="H91" s="124"/>
      <c r="I91" s="122"/>
    </row>
    <row r="92" spans="1:9" ht="12.75">
      <c r="A92" s="119">
        <f>A91+D91</f>
        <v>311.8999999999999</v>
      </c>
      <c r="B92" s="123" t="s">
        <v>102</v>
      </c>
      <c r="C92" s="124" t="s">
        <v>225</v>
      </c>
      <c r="D92" s="134">
        <v>0</v>
      </c>
      <c r="F92" s="132"/>
      <c r="G92" s="125"/>
      <c r="H92" s="125"/>
      <c r="I92" s="150"/>
    </row>
    <row r="93" spans="1:9" ht="12.75">
      <c r="A93" s="119">
        <f>A92+D92</f>
        <v>311.8999999999999</v>
      </c>
      <c r="B93" s="123" t="s">
        <v>105</v>
      </c>
      <c r="C93" s="124" t="s">
        <v>226</v>
      </c>
      <c r="D93" s="122">
        <v>0.2</v>
      </c>
      <c r="F93" s="132"/>
      <c r="G93" s="125"/>
      <c r="H93" s="125"/>
      <c r="I93" s="150"/>
    </row>
    <row r="94" spans="1:9" ht="12.75">
      <c r="A94" s="119"/>
      <c r="B94" s="123"/>
      <c r="C94" s="124"/>
      <c r="D94" s="122"/>
      <c r="F94" s="119"/>
      <c r="G94" s="123"/>
      <c r="H94" s="151"/>
      <c r="I94" s="122"/>
    </row>
    <row r="95" spans="1:9" ht="12.75">
      <c r="A95" s="154"/>
      <c r="B95" s="139"/>
      <c r="C95" s="140"/>
      <c r="D95" s="138"/>
      <c r="F95" s="154"/>
      <c r="G95" s="139"/>
      <c r="H95" s="161" t="s">
        <v>227</v>
      </c>
      <c r="I95" s="138"/>
    </row>
  </sheetData>
  <sheetProtection selectLockedCells="1" selectUnlockedCells="1"/>
  <printOptions horizontalCentered="1"/>
  <pageMargins left="0.39375" right="0.39375" top="0.7875000000000001" bottom="0.7875000000000001" header="0.2361111111111111" footer="0.2361111111111111"/>
  <pageSetup horizontalDpi="300" verticalDpi="300" orientation="portrait"/>
  <headerFooter alignWithMargins="0">
    <oddHeader>&amp;L&amp;8&amp;A&amp;C&amp;"Arial,Bold"Island 300 km BREVET&amp;R&amp;8Page &amp;P of &amp;N</oddHeader>
    <oddFooter>&amp;L&amp;8L = Left
SO = Straight On
R = Right&amp;CBC Randonneurs Cycling Club
&amp;8Affiliated with &amp;"Arial,Italic"Cycling BC
&amp;"Arial,Regular"Founding member of&amp;"Arial,Italic" Les Randonneurs Mondiaux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86"/>
  <sheetViews>
    <sheetView workbookViewId="0" topLeftCell="A1">
      <selection activeCell="D35" sqref="D35"/>
    </sheetView>
  </sheetViews>
  <sheetFormatPr defaultColWidth="9.140625" defaultRowHeight="12.75"/>
  <cols>
    <col min="1" max="1" width="5.57421875" style="0" customWidth="1"/>
    <col min="2" max="2" width="3.28125" style="0" customWidth="1"/>
    <col min="3" max="3" width="30.8515625" style="0" customWidth="1"/>
    <col min="4" max="4" width="6.140625" style="0" customWidth="1"/>
    <col min="5" max="5" width="16.8515625" style="1" customWidth="1"/>
    <col min="7" max="7" width="5.57421875" style="0" customWidth="1"/>
    <col min="8" max="8" width="3.7109375" style="0" customWidth="1"/>
    <col min="9" max="9" width="31.140625" style="0" customWidth="1"/>
    <col min="10" max="10" width="5.7109375" style="0" customWidth="1"/>
  </cols>
  <sheetData>
    <row r="1" spans="1:4" ht="60.75">
      <c r="A1" s="115" t="s">
        <v>97</v>
      </c>
      <c r="B1" s="116" t="s">
        <v>98</v>
      </c>
      <c r="C1" s="117" t="s">
        <v>99</v>
      </c>
      <c r="D1" s="118" t="s">
        <v>100</v>
      </c>
    </row>
    <row r="2" spans="1:5" ht="12.75">
      <c r="A2" s="119"/>
      <c r="B2" s="120"/>
      <c r="C2" s="121" t="s">
        <v>101</v>
      </c>
      <c r="D2" s="122"/>
      <c r="E2" s="1" t="s">
        <v>228</v>
      </c>
    </row>
    <row r="3" spans="1:5" ht="12.75">
      <c r="A3" s="119"/>
      <c r="B3" s="120"/>
      <c r="C3" s="121" t="s">
        <v>104</v>
      </c>
      <c r="D3" s="122"/>
      <c r="E3" s="1" t="s">
        <v>229</v>
      </c>
    </row>
    <row r="4" spans="1:5" ht="12.75">
      <c r="A4" s="119"/>
      <c r="B4" s="120"/>
      <c r="C4" s="126"/>
      <c r="D4" s="122"/>
      <c r="E4" s="1" t="s">
        <v>230</v>
      </c>
    </row>
    <row r="5" spans="1:5" ht="12.75">
      <c r="A5" s="119">
        <v>0</v>
      </c>
      <c r="B5" s="120" t="s">
        <v>108</v>
      </c>
      <c r="C5" s="126" t="s">
        <v>109</v>
      </c>
      <c r="D5" s="122">
        <v>0.2</v>
      </c>
      <c r="E5" s="1" t="s">
        <v>231</v>
      </c>
    </row>
    <row r="6" spans="1:5" ht="12.75">
      <c r="A6" s="119">
        <f>A5+D5</f>
        <v>0.2</v>
      </c>
      <c r="B6" s="120" t="s">
        <v>105</v>
      </c>
      <c r="C6" s="126" t="s">
        <v>19</v>
      </c>
      <c r="D6" s="122">
        <v>4.8</v>
      </c>
      <c r="E6" s="1" t="s">
        <v>232</v>
      </c>
    </row>
    <row r="7" spans="1:4" ht="12.75">
      <c r="A7" s="119">
        <f aca="true" t="shared" si="0" ref="A7:A23">A6+D6</f>
        <v>5</v>
      </c>
      <c r="B7" s="120" t="s">
        <v>108</v>
      </c>
      <c r="C7" s="126" t="s">
        <v>233</v>
      </c>
      <c r="D7" s="122">
        <v>0</v>
      </c>
    </row>
    <row r="8" spans="1:5" ht="12.75">
      <c r="A8" s="119">
        <f t="shared" si="0"/>
        <v>5</v>
      </c>
      <c r="B8" s="120" t="s">
        <v>105</v>
      </c>
      <c r="C8" s="126" t="s">
        <v>115</v>
      </c>
      <c r="D8" s="122">
        <v>1.6</v>
      </c>
      <c r="E8" s="1" t="s">
        <v>234</v>
      </c>
    </row>
    <row r="9" spans="1:5" ht="12.75">
      <c r="A9" s="119">
        <f t="shared" si="0"/>
        <v>6.6</v>
      </c>
      <c r="B9" s="120" t="s">
        <v>105</v>
      </c>
      <c r="C9" s="126" t="s">
        <v>117</v>
      </c>
      <c r="D9" s="122">
        <v>0.7</v>
      </c>
      <c r="E9" s="1" t="s">
        <v>235</v>
      </c>
    </row>
    <row r="10" spans="1:5" ht="12.75">
      <c r="A10" s="119">
        <f t="shared" si="0"/>
        <v>7.3</v>
      </c>
      <c r="B10" s="120" t="s">
        <v>102</v>
      </c>
      <c r="C10" s="126" t="s">
        <v>119</v>
      </c>
      <c r="D10" s="122">
        <v>1.6</v>
      </c>
      <c r="E10" s="1" t="s">
        <v>236</v>
      </c>
    </row>
    <row r="11" spans="1:5" ht="12.75">
      <c r="A11" s="119">
        <f t="shared" si="0"/>
        <v>8.9</v>
      </c>
      <c r="B11" s="120" t="s">
        <v>108</v>
      </c>
      <c r="C11" s="126" t="s">
        <v>237</v>
      </c>
      <c r="D11" s="122">
        <v>0.6</v>
      </c>
      <c r="E11" s="1" t="s">
        <v>238</v>
      </c>
    </row>
    <row r="12" spans="1:5" ht="12.75">
      <c r="A12" s="119">
        <f t="shared" si="0"/>
        <v>9.5</v>
      </c>
      <c r="B12" s="127" t="s">
        <v>108</v>
      </c>
      <c r="C12" s="128" t="s">
        <v>239</v>
      </c>
      <c r="D12" s="129">
        <v>0.1</v>
      </c>
      <c r="E12" s="1" t="s">
        <v>240</v>
      </c>
    </row>
    <row r="13" spans="1:5" ht="12.75">
      <c r="A13" s="119">
        <f t="shared" si="0"/>
        <v>9.6</v>
      </c>
      <c r="B13" s="127" t="s">
        <v>108</v>
      </c>
      <c r="C13" s="128" t="s">
        <v>129</v>
      </c>
      <c r="D13" s="129">
        <v>1.9</v>
      </c>
      <c r="E13" s="1" t="s">
        <v>241</v>
      </c>
    </row>
    <row r="14" spans="1:5" ht="12.75">
      <c r="A14" s="119">
        <f t="shared" si="0"/>
        <v>11.5</v>
      </c>
      <c r="B14" s="127" t="s">
        <v>105</v>
      </c>
      <c r="C14" s="128" t="s">
        <v>131</v>
      </c>
      <c r="D14" s="129">
        <v>1</v>
      </c>
      <c r="E14" s="1" t="s">
        <v>242</v>
      </c>
    </row>
    <row r="15" spans="1:4" ht="12.75">
      <c r="A15" s="162">
        <f t="shared" si="0"/>
        <v>12.5</v>
      </c>
      <c r="B15" s="127" t="s">
        <v>108</v>
      </c>
      <c r="C15" s="128" t="s">
        <v>243</v>
      </c>
      <c r="D15" s="129">
        <v>0.2</v>
      </c>
    </row>
    <row r="16" spans="1:4" ht="12.75">
      <c r="A16" s="162">
        <f t="shared" si="0"/>
        <v>12.7</v>
      </c>
      <c r="B16" s="127" t="s">
        <v>105</v>
      </c>
      <c r="C16" s="128" t="s">
        <v>135</v>
      </c>
      <c r="D16" s="129">
        <v>1.1</v>
      </c>
    </row>
    <row r="17" spans="1:4" ht="12.75">
      <c r="A17" s="162">
        <f t="shared" si="0"/>
        <v>13.799999999999999</v>
      </c>
      <c r="B17" s="127" t="s">
        <v>102</v>
      </c>
      <c r="C17" s="128" t="s">
        <v>136</v>
      </c>
      <c r="D17" s="129">
        <v>2.8</v>
      </c>
    </row>
    <row r="18" spans="1:4" ht="12.75">
      <c r="A18" s="162">
        <f t="shared" si="0"/>
        <v>16.599999999999998</v>
      </c>
      <c r="B18" s="127" t="s">
        <v>108</v>
      </c>
      <c r="C18" s="128" t="s">
        <v>114</v>
      </c>
      <c r="D18" s="129">
        <v>0.9</v>
      </c>
    </row>
    <row r="19" spans="1:4" ht="12.75">
      <c r="A19" s="162">
        <f t="shared" si="0"/>
        <v>17.499999999999996</v>
      </c>
      <c r="B19" s="120" t="s">
        <v>105</v>
      </c>
      <c r="C19" s="126" t="s">
        <v>139</v>
      </c>
      <c r="D19" s="122">
        <v>2.4</v>
      </c>
    </row>
    <row r="20" spans="1:4" ht="12.75">
      <c r="A20" s="162">
        <f t="shared" si="0"/>
        <v>19.899999999999995</v>
      </c>
      <c r="B20" s="120" t="s">
        <v>108</v>
      </c>
      <c r="C20" s="126" t="s">
        <v>140</v>
      </c>
      <c r="D20" s="122">
        <v>1.2</v>
      </c>
    </row>
    <row r="21" spans="1:4" ht="12.75">
      <c r="A21" s="162">
        <f t="shared" si="0"/>
        <v>21.099999999999994</v>
      </c>
      <c r="B21" s="120" t="s">
        <v>105</v>
      </c>
      <c r="C21" s="126" t="s">
        <v>141</v>
      </c>
      <c r="D21" s="122">
        <v>0.4</v>
      </c>
    </row>
    <row r="22" spans="1:4" ht="12.75">
      <c r="A22" s="162">
        <f t="shared" si="0"/>
        <v>21.499999999999993</v>
      </c>
      <c r="B22" s="120" t="s">
        <v>102</v>
      </c>
      <c r="C22" s="145" t="s">
        <v>103</v>
      </c>
      <c r="D22" s="122">
        <v>2.7</v>
      </c>
    </row>
    <row r="23" spans="1:4" ht="12.75">
      <c r="A23" s="162">
        <f t="shared" si="0"/>
        <v>24.199999999999992</v>
      </c>
      <c r="B23" s="136" t="s">
        <v>105</v>
      </c>
      <c r="C23" s="137" t="s">
        <v>106</v>
      </c>
      <c r="D23" s="138">
        <v>3.6</v>
      </c>
    </row>
    <row r="24" spans="1:4" ht="60.75">
      <c r="A24" s="115" t="s">
        <v>97</v>
      </c>
      <c r="B24" s="116" t="s">
        <v>98</v>
      </c>
      <c r="C24" s="117" t="s">
        <v>99</v>
      </c>
      <c r="D24" s="118" t="s">
        <v>100</v>
      </c>
    </row>
    <row r="25" spans="1:4" ht="12.75">
      <c r="A25" s="119">
        <f>A23+D23</f>
        <v>27.799999999999994</v>
      </c>
      <c r="B25" s="123" t="s">
        <v>105</v>
      </c>
      <c r="C25" s="124" t="s">
        <v>107</v>
      </c>
      <c r="D25" s="122">
        <v>4</v>
      </c>
    </row>
    <row r="26" spans="1:4" ht="12.75">
      <c r="A26" s="119">
        <f>A25+D25</f>
        <v>31.799999999999994</v>
      </c>
      <c r="B26" s="123" t="s">
        <v>105</v>
      </c>
      <c r="C26" s="124" t="s">
        <v>110</v>
      </c>
      <c r="D26" s="122">
        <v>9.9</v>
      </c>
    </row>
    <row r="27" spans="1:4" ht="12.75">
      <c r="A27" s="119">
        <f aca="true" t="shared" si="1" ref="A27:A37">A26+D26</f>
        <v>41.699999999999996</v>
      </c>
      <c r="B27" s="127" t="s">
        <v>108</v>
      </c>
      <c r="C27" s="128" t="s">
        <v>112</v>
      </c>
      <c r="D27" s="129">
        <v>0.3</v>
      </c>
    </row>
    <row r="28" spans="1:4" ht="12.75">
      <c r="A28" s="119">
        <f t="shared" si="1"/>
        <v>41.99999999999999</v>
      </c>
      <c r="B28" s="127" t="s">
        <v>108</v>
      </c>
      <c r="C28" s="128" t="s">
        <v>114</v>
      </c>
      <c r="D28" s="129">
        <v>2</v>
      </c>
    </row>
    <row r="29" spans="1:4" ht="12.75">
      <c r="A29" s="119">
        <f t="shared" si="1"/>
        <v>43.99999999999999</v>
      </c>
      <c r="B29" s="127" t="s">
        <v>108</v>
      </c>
      <c r="C29" s="128" t="s">
        <v>116</v>
      </c>
      <c r="D29" s="129">
        <v>0.4</v>
      </c>
    </row>
    <row r="30" spans="1:4" ht="12.75">
      <c r="A30" s="119">
        <f t="shared" si="1"/>
        <v>44.39999999999999</v>
      </c>
      <c r="B30" s="127" t="s">
        <v>105</v>
      </c>
      <c r="C30" s="128" t="s">
        <v>118</v>
      </c>
      <c r="D30" s="129">
        <v>1.6</v>
      </c>
    </row>
    <row r="31" spans="1:4" ht="12.75">
      <c r="A31" s="119">
        <f t="shared" si="1"/>
        <v>45.99999999999999</v>
      </c>
      <c r="B31" s="127" t="s">
        <v>108</v>
      </c>
      <c r="C31" s="128" t="s">
        <v>120</v>
      </c>
      <c r="D31" s="129">
        <v>0.1</v>
      </c>
    </row>
    <row r="32" spans="1:4" ht="12.75">
      <c r="A32" s="119">
        <f t="shared" si="1"/>
        <v>46.099999999999994</v>
      </c>
      <c r="B32" s="127" t="s">
        <v>105</v>
      </c>
      <c r="C32" s="128" t="s">
        <v>122</v>
      </c>
      <c r="D32" s="129">
        <v>2.1</v>
      </c>
    </row>
    <row r="33" spans="1:4" ht="12.75">
      <c r="A33" s="119">
        <f t="shared" si="1"/>
        <v>48.199999999999996</v>
      </c>
      <c r="B33" s="127" t="s">
        <v>105</v>
      </c>
      <c r="C33" s="128" t="s">
        <v>124</v>
      </c>
      <c r="D33" s="129">
        <v>1.2</v>
      </c>
    </row>
    <row r="34" spans="1:4" ht="12.75">
      <c r="A34" s="119">
        <f t="shared" si="1"/>
        <v>49.4</v>
      </c>
      <c r="B34" s="127" t="s">
        <v>105</v>
      </c>
      <c r="C34" s="128" t="s">
        <v>126</v>
      </c>
      <c r="D34" s="129">
        <v>1.1</v>
      </c>
    </row>
    <row r="35" spans="1:5" ht="12.75">
      <c r="A35" s="119">
        <f t="shared" si="1"/>
        <v>50.5</v>
      </c>
      <c r="B35" s="127" t="s">
        <v>108</v>
      </c>
      <c r="C35" s="128" t="s">
        <v>128</v>
      </c>
      <c r="D35" s="129">
        <v>0.1</v>
      </c>
      <c r="E35" s="1" t="s">
        <v>244</v>
      </c>
    </row>
    <row r="36" spans="1:4" ht="12.75">
      <c r="A36" s="119">
        <f t="shared" si="1"/>
        <v>50.6</v>
      </c>
      <c r="B36" s="123" t="s">
        <v>108</v>
      </c>
      <c r="C36" s="124" t="s">
        <v>130</v>
      </c>
      <c r="D36" s="122">
        <v>4.6</v>
      </c>
    </row>
    <row r="37" spans="1:4" ht="12.75">
      <c r="A37" s="119">
        <f t="shared" si="1"/>
        <v>55.2</v>
      </c>
      <c r="B37" s="123" t="s">
        <v>108</v>
      </c>
      <c r="C37" s="124" t="s">
        <v>132</v>
      </c>
      <c r="D37" s="122">
        <v>0.7</v>
      </c>
    </row>
    <row r="38" spans="1:4" ht="12.75">
      <c r="A38" s="119"/>
      <c r="B38" s="158"/>
      <c r="C38" s="159"/>
      <c r="D38" s="122"/>
    </row>
    <row r="39" spans="1:5" ht="12.75">
      <c r="A39" s="132">
        <f>A37+D37</f>
        <v>55.900000000000006</v>
      </c>
      <c r="B39" s="123"/>
      <c r="C39" s="125" t="s">
        <v>137</v>
      </c>
      <c r="D39" s="122"/>
      <c r="E39" s="1" t="s">
        <v>244</v>
      </c>
    </row>
    <row r="40" spans="1:4" ht="12.75">
      <c r="A40" s="119"/>
      <c r="B40" s="123"/>
      <c r="C40" s="125" t="s">
        <v>138</v>
      </c>
      <c r="D40" s="122"/>
    </row>
    <row r="41" spans="1:4" ht="12.75">
      <c r="A41" s="132"/>
      <c r="B41" s="125"/>
      <c r="C41" s="125"/>
      <c r="D41" s="150"/>
    </row>
    <row r="42" spans="1:4" ht="12.75">
      <c r="A42" s="133"/>
      <c r="B42" s="123"/>
      <c r="C42" s="124"/>
      <c r="D42" s="134"/>
    </row>
    <row r="43" spans="1:4" ht="12.75">
      <c r="A43" s="133"/>
      <c r="B43" s="123"/>
      <c r="C43" s="124"/>
      <c r="D43" s="134"/>
    </row>
    <row r="44" spans="1:4" ht="12.75">
      <c r="A44" s="133"/>
      <c r="B44" s="123"/>
      <c r="C44" s="124"/>
      <c r="D44" s="134"/>
    </row>
    <row r="45" spans="1:4" ht="12.75">
      <c r="A45" s="133"/>
      <c r="B45" s="123"/>
      <c r="C45" s="124"/>
      <c r="D45" s="122"/>
    </row>
    <row r="46" spans="1:4" ht="12.75">
      <c r="A46" s="133"/>
      <c r="B46" s="139"/>
      <c r="C46" s="140"/>
      <c r="D46" s="138"/>
    </row>
    <row r="47" spans="1:4" ht="60.75">
      <c r="A47" s="115" t="s">
        <v>97</v>
      </c>
      <c r="B47" s="116" t="s">
        <v>98</v>
      </c>
      <c r="C47" s="117" t="s">
        <v>99</v>
      </c>
      <c r="D47" s="118" t="s">
        <v>100</v>
      </c>
    </row>
    <row r="48" spans="1:4" ht="12.75">
      <c r="A48" s="133"/>
      <c r="B48" s="144" t="s">
        <v>102</v>
      </c>
      <c r="C48" s="145" t="s">
        <v>142</v>
      </c>
      <c r="D48" s="134">
        <v>0.6</v>
      </c>
    </row>
    <row r="49" spans="1:4" ht="12.75">
      <c r="A49" s="133">
        <f>A39+D48</f>
        <v>56.50000000000001</v>
      </c>
      <c r="B49" s="144" t="s">
        <v>105</v>
      </c>
      <c r="C49" s="145" t="s">
        <v>245</v>
      </c>
      <c r="D49" s="134">
        <v>1.1</v>
      </c>
    </row>
    <row r="50" spans="1:4" ht="12.75">
      <c r="A50" s="133">
        <f>A49+D49</f>
        <v>57.60000000000001</v>
      </c>
      <c r="B50" s="144" t="s">
        <v>108</v>
      </c>
      <c r="C50" s="145" t="s">
        <v>155</v>
      </c>
      <c r="D50" s="134">
        <v>0.5</v>
      </c>
    </row>
    <row r="51" spans="1:4" ht="12.75">
      <c r="A51" s="133">
        <f aca="true" t="shared" si="2" ref="A51:A56">A50+D50</f>
        <v>58.10000000000001</v>
      </c>
      <c r="B51" s="120" t="s">
        <v>105</v>
      </c>
      <c r="C51" s="126" t="s">
        <v>246</v>
      </c>
      <c r="D51" s="122">
        <v>9.2</v>
      </c>
    </row>
    <row r="52" spans="1:4" ht="12.75">
      <c r="A52" s="133">
        <f t="shared" si="2"/>
        <v>67.30000000000001</v>
      </c>
      <c r="B52" s="120" t="s">
        <v>102</v>
      </c>
      <c r="C52" s="126" t="s">
        <v>247</v>
      </c>
      <c r="D52" s="122">
        <v>5.6</v>
      </c>
    </row>
    <row r="53" spans="1:4" ht="12.75">
      <c r="A53" s="133">
        <f t="shared" si="2"/>
        <v>72.9</v>
      </c>
      <c r="B53" s="120" t="s">
        <v>105</v>
      </c>
      <c r="C53" s="126" t="s">
        <v>248</v>
      </c>
      <c r="D53" s="122">
        <v>3.5</v>
      </c>
    </row>
    <row r="54" spans="1:4" ht="12.75">
      <c r="A54" s="133">
        <f t="shared" si="2"/>
        <v>76.4</v>
      </c>
      <c r="B54" s="120" t="s">
        <v>105</v>
      </c>
      <c r="C54" s="126" t="s">
        <v>249</v>
      </c>
      <c r="D54" s="122">
        <v>0.2</v>
      </c>
    </row>
    <row r="55" spans="1:4" ht="12.75">
      <c r="A55" s="133">
        <f t="shared" si="2"/>
        <v>76.60000000000001</v>
      </c>
      <c r="B55" s="120" t="s">
        <v>108</v>
      </c>
      <c r="C55" s="126" t="s">
        <v>250</v>
      </c>
      <c r="D55" s="122">
        <v>0.2</v>
      </c>
    </row>
    <row r="56" spans="1:4" ht="12.75">
      <c r="A56" s="133">
        <f t="shared" si="2"/>
        <v>76.80000000000001</v>
      </c>
      <c r="B56" s="120" t="s">
        <v>102</v>
      </c>
      <c r="C56" s="126" t="s">
        <v>251</v>
      </c>
      <c r="D56" s="122">
        <v>5</v>
      </c>
    </row>
    <row r="57" spans="1:4" ht="12.75">
      <c r="A57" s="119">
        <f>A56+D56</f>
        <v>81.80000000000001</v>
      </c>
      <c r="B57" s="120" t="s">
        <v>105</v>
      </c>
      <c r="C57" s="126" t="s">
        <v>169</v>
      </c>
      <c r="D57" s="122">
        <v>2.5</v>
      </c>
    </row>
    <row r="58" spans="1:4" ht="12.75">
      <c r="A58" s="119">
        <f>A57+D57</f>
        <v>84.30000000000001</v>
      </c>
      <c r="B58" s="123" t="s">
        <v>105</v>
      </c>
      <c r="C58" s="124" t="s">
        <v>170</v>
      </c>
      <c r="D58" s="122">
        <v>0.1</v>
      </c>
    </row>
    <row r="59" spans="1:4" ht="12.75">
      <c r="A59" s="119">
        <f>A58+D58</f>
        <v>84.4</v>
      </c>
      <c r="B59" s="123" t="s">
        <v>108</v>
      </c>
      <c r="C59" s="124" t="s">
        <v>171</v>
      </c>
      <c r="D59" s="122">
        <v>0.6</v>
      </c>
    </row>
    <row r="60" spans="1:4" ht="12.75">
      <c r="A60" s="119">
        <f>A59+D59</f>
        <v>85</v>
      </c>
      <c r="B60" s="123" t="s">
        <v>105</v>
      </c>
      <c r="C60" s="124" t="s">
        <v>172</v>
      </c>
      <c r="D60" s="122">
        <v>7.4</v>
      </c>
    </row>
    <row r="61" spans="1:4" ht="12.75">
      <c r="A61" s="119"/>
      <c r="B61" s="123"/>
      <c r="C61" s="124"/>
      <c r="D61" s="122"/>
    </row>
    <row r="62" spans="1:5" ht="12.75">
      <c r="A62" s="132">
        <f>A60+D60</f>
        <v>92.4</v>
      </c>
      <c r="B62" s="123"/>
      <c r="C62" s="125" t="s">
        <v>173</v>
      </c>
      <c r="D62" s="122"/>
      <c r="E62" s="1" t="s">
        <v>244</v>
      </c>
    </row>
    <row r="63" spans="1:4" ht="12.75">
      <c r="A63" s="119"/>
      <c r="B63" s="123"/>
      <c r="C63" s="125" t="s">
        <v>174</v>
      </c>
      <c r="D63" s="122"/>
    </row>
    <row r="64" spans="1:4" ht="12.75">
      <c r="A64" s="132"/>
      <c r="B64" s="125"/>
      <c r="C64" s="125"/>
      <c r="D64" s="150"/>
    </row>
    <row r="65" spans="1:4" ht="12.75">
      <c r="A65" s="119"/>
      <c r="B65" s="123"/>
      <c r="C65" s="124"/>
      <c r="D65" s="122"/>
    </row>
    <row r="66" spans="1:4" ht="12.75">
      <c r="A66" s="119"/>
      <c r="B66" s="123"/>
      <c r="C66" s="124"/>
      <c r="D66" s="122"/>
    </row>
    <row r="67" spans="1:4" ht="12.75">
      <c r="A67" s="119"/>
      <c r="B67" s="123"/>
      <c r="C67" s="124"/>
      <c r="D67" s="122"/>
    </row>
    <row r="68" spans="1:4" ht="12.75">
      <c r="A68" s="119"/>
      <c r="B68" s="123"/>
      <c r="C68" s="124"/>
      <c r="D68" s="122"/>
    </row>
    <row r="69" spans="1:4" ht="12.75">
      <c r="A69" s="154"/>
      <c r="B69" s="139"/>
      <c r="C69" s="140"/>
      <c r="D69" s="138"/>
    </row>
    <row r="70" spans="1:4" ht="60.75">
      <c r="A70" s="115" t="s">
        <v>97</v>
      </c>
      <c r="B70" s="116" t="s">
        <v>98</v>
      </c>
      <c r="C70" s="117" t="s">
        <v>99</v>
      </c>
      <c r="D70" s="118" t="s">
        <v>100</v>
      </c>
    </row>
    <row r="71" spans="1:4" ht="12.75">
      <c r="A71" s="119"/>
      <c r="B71" s="123" t="s">
        <v>143</v>
      </c>
      <c r="C71" s="124" t="s">
        <v>144</v>
      </c>
      <c r="D71" s="122">
        <v>8.4</v>
      </c>
    </row>
    <row r="72" spans="1:5" ht="12.75">
      <c r="A72" s="119">
        <f>A62+D71</f>
        <v>100.80000000000001</v>
      </c>
      <c r="B72" s="123" t="s">
        <v>105</v>
      </c>
      <c r="C72" s="126" t="s">
        <v>146</v>
      </c>
      <c r="D72" s="122">
        <v>5.3</v>
      </c>
      <c r="E72" s="1" t="s">
        <v>244</v>
      </c>
    </row>
    <row r="73" spans="1:4" ht="12.75">
      <c r="A73" s="119">
        <f aca="true" t="shared" si="3" ref="A73:A80">A72+D72</f>
        <v>106.10000000000001</v>
      </c>
      <c r="B73" s="120" t="s">
        <v>105</v>
      </c>
      <c r="C73" s="126" t="s">
        <v>148</v>
      </c>
      <c r="D73" s="122">
        <v>5.1</v>
      </c>
    </row>
    <row r="74" spans="1:4" ht="12.75">
      <c r="A74" s="119">
        <f t="shared" si="3"/>
        <v>111.2</v>
      </c>
      <c r="B74" s="120" t="s">
        <v>102</v>
      </c>
      <c r="C74" s="126" t="s">
        <v>150</v>
      </c>
      <c r="D74" s="122">
        <v>5.1</v>
      </c>
    </row>
    <row r="75" spans="1:4" ht="12.75">
      <c r="A75" s="119">
        <f t="shared" si="3"/>
        <v>116.3</v>
      </c>
      <c r="B75" s="120" t="s">
        <v>105</v>
      </c>
      <c r="C75" s="126" t="s">
        <v>152</v>
      </c>
      <c r="D75" s="122">
        <v>1.4</v>
      </c>
    </row>
    <row r="76" spans="1:4" ht="12.75">
      <c r="A76" s="119">
        <f t="shared" si="3"/>
        <v>117.7</v>
      </c>
      <c r="B76" s="120" t="s">
        <v>108</v>
      </c>
      <c r="C76" s="126" t="s">
        <v>154</v>
      </c>
      <c r="D76" s="122">
        <v>4.6</v>
      </c>
    </row>
    <row r="77" spans="1:4" ht="12.75">
      <c r="A77" s="119">
        <f t="shared" si="3"/>
        <v>122.3</v>
      </c>
      <c r="B77" s="120" t="s">
        <v>105</v>
      </c>
      <c r="C77" s="126" t="s">
        <v>156</v>
      </c>
      <c r="D77" s="122">
        <v>6.1</v>
      </c>
    </row>
    <row r="78" spans="1:4" ht="12.75">
      <c r="A78" s="119">
        <f t="shared" si="3"/>
        <v>128.4</v>
      </c>
      <c r="B78" s="120" t="s">
        <v>108</v>
      </c>
      <c r="C78" s="126" t="s">
        <v>158</v>
      </c>
      <c r="D78" s="122">
        <v>0.5</v>
      </c>
    </row>
    <row r="79" spans="1:4" ht="12.75">
      <c r="A79" s="119">
        <f t="shared" si="3"/>
        <v>128.9</v>
      </c>
      <c r="B79" s="120" t="s">
        <v>105</v>
      </c>
      <c r="C79" s="126" t="s">
        <v>160</v>
      </c>
      <c r="D79" s="122">
        <v>0.8</v>
      </c>
    </row>
    <row r="80" spans="1:4" ht="12.75">
      <c r="A80" s="119">
        <f t="shared" si="3"/>
        <v>129.70000000000002</v>
      </c>
      <c r="B80" s="120" t="s">
        <v>108</v>
      </c>
      <c r="C80" s="126" t="s">
        <v>162</v>
      </c>
      <c r="D80" s="122">
        <v>5.3</v>
      </c>
    </row>
    <row r="81" spans="1:4" ht="12.75">
      <c r="A81" s="119">
        <f>A80+D80</f>
        <v>135.00000000000003</v>
      </c>
      <c r="B81" s="120" t="s">
        <v>105</v>
      </c>
      <c r="C81" s="126" t="s">
        <v>164</v>
      </c>
      <c r="D81" s="122">
        <v>0</v>
      </c>
    </row>
    <row r="82" spans="1:4" ht="12.75">
      <c r="A82" s="119"/>
      <c r="B82" s="120"/>
      <c r="C82" s="121"/>
      <c r="D82" s="122"/>
    </row>
    <row r="83" spans="1:5" ht="12.75">
      <c r="A83" s="147">
        <f>A81+D81</f>
        <v>135.00000000000003</v>
      </c>
      <c r="B83" s="127"/>
      <c r="C83" s="148" t="s">
        <v>166</v>
      </c>
      <c r="D83" s="149"/>
      <c r="E83" s="1" t="s">
        <v>244</v>
      </c>
    </row>
    <row r="84" spans="1:4" ht="12.75">
      <c r="A84" s="132"/>
      <c r="B84" s="125"/>
      <c r="C84" s="148" t="s">
        <v>31</v>
      </c>
      <c r="D84" s="150"/>
    </row>
    <row r="85" spans="1:4" ht="12.75">
      <c r="A85" s="119"/>
      <c r="B85" s="123"/>
      <c r="C85" s="124"/>
      <c r="D85" s="122"/>
    </row>
    <row r="86" spans="1:4" ht="12.75">
      <c r="A86" s="119"/>
      <c r="B86" s="123"/>
      <c r="C86" s="124"/>
      <c r="D86" s="122"/>
    </row>
    <row r="87" spans="1:4" ht="12.75">
      <c r="A87" s="119"/>
      <c r="B87" s="123"/>
      <c r="C87" s="124"/>
      <c r="D87" s="122"/>
    </row>
    <row r="88" spans="1:4" ht="12.75">
      <c r="A88" s="119"/>
      <c r="B88" s="123"/>
      <c r="C88" s="124"/>
      <c r="D88" s="122"/>
    </row>
    <row r="89" spans="1:4" ht="12.75">
      <c r="A89" s="119"/>
      <c r="B89" s="123"/>
      <c r="C89" s="124"/>
      <c r="D89" s="122"/>
    </row>
    <row r="90" spans="1:4" ht="12.75">
      <c r="A90" s="119"/>
      <c r="B90" s="123"/>
      <c r="C90" s="124"/>
      <c r="D90" s="122"/>
    </row>
    <row r="91" spans="1:4" ht="12.75">
      <c r="A91" s="119"/>
      <c r="B91" s="123"/>
      <c r="C91" s="151"/>
      <c r="D91" s="122"/>
    </row>
    <row r="92" spans="1:4" ht="12.75">
      <c r="A92" s="154"/>
      <c r="B92" s="139"/>
      <c r="C92" s="140"/>
      <c r="D92" s="138"/>
    </row>
    <row r="93" spans="1:4" ht="60.75">
      <c r="A93" s="115" t="s">
        <v>97</v>
      </c>
      <c r="B93" s="116" t="s">
        <v>98</v>
      </c>
      <c r="C93" s="117" t="s">
        <v>99</v>
      </c>
      <c r="D93" s="118" t="s">
        <v>100</v>
      </c>
    </row>
    <row r="94" spans="1:4" ht="12.75">
      <c r="A94" s="119"/>
      <c r="B94" s="123" t="s">
        <v>102</v>
      </c>
      <c r="C94" s="124" t="s">
        <v>175</v>
      </c>
      <c r="D94" s="122">
        <v>2.2</v>
      </c>
    </row>
    <row r="95" spans="1:4" ht="12.75">
      <c r="A95" s="119">
        <f>A83+D94</f>
        <v>137.20000000000002</v>
      </c>
      <c r="B95" s="123" t="s">
        <v>108</v>
      </c>
      <c r="C95" s="124" t="s">
        <v>177</v>
      </c>
      <c r="D95" s="122">
        <v>0.9</v>
      </c>
    </row>
    <row r="96" spans="1:4" ht="12.75">
      <c r="A96" s="119">
        <f>A95+D95</f>
        <v>138.10000000000002</v>
      </c>
      <c r="B96" s="123" t="s">
        <v>108</v>
      </c>
      <c r="C96" s="124" t="s">
        <v>179</v>
      </c>
      <c r="D96" s="122">
        <v>4.7</v>
      </c>
    </row>
    <row r="97" spans="1:4" ht="12.75">
      <c r="A97" s="119">
        <f>A96+D96</f>
        <v>142.8</v>
      </c>
      <c r="B97" s="123" t="s">
        <v>108</v>
      </c>
      <c r="C97" s="124" t="s">
        <v>181</v>
      </c>
      <c r="D97" s="122">
        <v>9</v>
      </c>
    </row>
    <row r="98" spans="1:5" ht="12.75">
      <c r="A98" s="119">
        <f>A97+D97</f>
        <v>151.8</v>
      </c>
      <c r="B98" s="123" t="s">
        <v>108</v>
      </c>
      <c r="C98" s="124" t="s">
        <v>183</v>
      </c>
      <c r="D98" s="122">
        <v>4.3</v>
      </c>
      <c r="E98" s="1" t="s">
        <v>244</v>
      </c>
    </row>
    <row r="99" spans="1:4" ht="12.75">
      <c r="A99" s="119">
        <f>A98+D98</f>
        <v>156.10000000000002</v>
      </c>
      <c r="B99" s="123" t="s">
        <v>105</v>
      </c>
      <c r="C99" s="124" t="s">
        <v>185</v>
      </c>
      <c r="D99" s="122">
        <v>7</v>
      </c>
    </row>
    <row r="100" spans="1:4" ht="12.75">
      <c r="A100" s="119"/>
      <c r="B100" s="123"/>
      <c r="C100" s="124" t="s">
        <v>187</v>
      </c>
      <c r="D100" s="122"/>
    </row>
    <row r="101" spans="1:4" ht="12.75">
      <c r="A101" s="119">
        <f>A99+D99</f>
        <v>163.10000000000002</v>
      </c>
      <c r="B101" s="123" t="s">
        <v>102</v>
      </c>
      <c r="C101" s="124" t="s">
        <v>189</v>
      </c>
      <c r="D101" s="122">
        <v>2.2</v>
      </c>
    </row>
    <row r="102" spans="1:4" ht="12.75">
      <c r="A102" s="119">
        <f>A101+D101</f>
        <v>165.3</v>
      </c>
      <c r="B102" s="123" t="s">
        <v>105</v>
      </c>
      <c r="C102" s="124" t="s">
        <v>191</v>
      </c>
      <c r="D102" s="122">
        <v>0.9</v>
      </c>
    </row>
    <row r="103" spans="1:4" ht="12.75">
      <c r="A103" s="119">
        <f>A102+D102</f>
        <v>166.20000000000002</v>
      </c>
      <c r="B103" s="123" t="s">
        <v>105</v>
      </c>
      <c r="C103" s="124" t="s">
        <v>193</v>
      </c>
      <c r="D103" s="122">
        <v>1.9</v>
      </c>
    </row>
    <row r="104" spans="1:4" ht="12.75">
      <c r="A104" s="119"/>
      <c r="B104" s="123"/>
      <c r="C104" s="124" t="s">
        <v>187</v>
      </c>
      <c r="D104" s="122"/>
    </row>
    <row r="105" spans="1:4" ht="12.75">
      <c r="A105" s="119">
        <f>A103+D103</f>
        <v>168.10000000000002</v>
      </c>
      <c r="B105" s="123" t="s">
        <v>102</v>
      </c>
      <c r="C105" s="124" t="s">
        <v>196</v>
      </c>
      <c r="D105" s="122">
        <v>7.4</v>
      </c>
    </row>
    <row r="106" spans="1:4" ht="12.75">
      <c r="A106" s="119">
        <f>A105+D105</f>
        <v>175.50000000000003</v>
      </c>
      <c r="B106" s="123" t="s">
        <v>105</v>
      </c>
      <c r="C106" s="124" t="s">
        <v>198</v>
      </c>
      <c r="D106" s="122">
        <v>0.5</v>
      </c>
    </row>
    <row r="107" spans="1:4" ht="12.75">
      <c r="A107" s="119">
        <f>A106+D106</f>
        <v>176.00000000000003</v>
      </c>
      <c r="B107" s="158" t="s">
        <v>105</v>
      </c>
      <c r="C107" s="159" t="s">
        <v>200</v>
      </c>
      <c r="D107" s="122">
        <v>3.4</v>
      </c>
    </row>
    <row r="108" spans="1:4" ht="12.75">
      <c r="A108" s="119">
        <f>A107+D107</f>
        <v>179.40000000000003</v>
      </c>
      <c r="B108" s="123" t="s">
        <v>108</v>
      </c>
      <c r="C108" s="124" t="s">
        <v>202</v>
      </c>
      <c r="D108" s="122">
        <v>0</v>
      </c>
    </row>
    <row r="109" spans="1:4" ht="12.75">
      <c r="A109" s="119"/>
      <c r="B109" s="123"/>
      <c r="C109" s="124"/>
      <c r="D109" s="122"/>
    </row>
    <row r="110" spans="1:5" ht="12.75">
      <c r="A110" s="132"/>
      <c r="B110" s="125" t="s">
        <v>105</v>
      </c>
      <c r="C110" s="125" t="s">
        <v>204</v>
      </c>
      <c r="D110" s="150"/>
      <c r="E110" s="1" t="s">
        <v>244</v>
      </c>
    </row>
    <row r="111" spans="1:4" ht="12.75">
      <c r="A111" s="132"/>
      <c r="B111" s="125"/>
      <c r="C111" s="125" t="s">
        <v>206</v>
      </c>
      <c r="D111" s="150"/>
    </row>
    <row r="112" spans="1:4" ht="12.75">
      <c r="A112" s="119"/>
      <c r="B112" s="123"/>
      <c r="C112" s="124"/>
      <c r="D112" s="122"/>
    </row>
    <row r="113" spans="1:4" ht="12.75">
      <c r="A113" s="119"/>
      <c r="B113" s="123"/>
      <c r="C113" s="124"/>
      <c r="D113" s="122"/>
    </row>
    <row r="114" spans="1:4" ht="12.75">
      <c r="A114" s="119"/>
      <c r="B114" s="123"/>
      <c r="C114" s="124"/>
      <c r="D114" s="122"/>
    </row>
    <row r="115" spans="1:4" ht="12.75">
      <c r="A115" s="154"/>
      <c r="B115" s="139"/>
      <c r="C115" s="140"/>
      <c r="D115" s="138"/>
    </row>
    <row r="116" spans="1:4" ht="60.75">
      <c r="A116" s="115" t="s">
        <v>97</v>
      </c>
      <c r="B116" s="116" t="s">
        <v>98</v>
      </c>
      <c r="C116" s="117" t="s">
        <v>99</v>
      </c>
      <c r="D116" s="118" t="s">
        <v>100</v>
      </c>
    </row>
    <row r="117" spans="1:4" ht="12.75">
      <c r="A117" s="119">
        <f>A108+D108</f>
        <v>179.40000000000003</v>
      </c>
      <c r="B117" s="123" t="s">
        <v>105</v>
      </c>
      <c r="C117" s="124" t="s">
        <v>176</v>
      </c>
      <c r="D117" s="122">
        <v>3.5</v>
      </c>
    </row>
    <row r="118" spans="1:4" ht="12.75">
      <c r="A118" s="119"/>
      <c r="B118" s="123"/>
      <c r="C118" s="124" t="s">
        <v>178</v>
      </c>
      <c r="D118" s="122"/>
    </row>
    <row r="119" spans="1:4" ht="12.75">
      <c r="A119" s="119">
        <f>A117+D117</f>
        <v>182.90000000000003</v>
      </c>
      <c r="B119" s="123" t="s">
        <v>102</v>
      </c>
      <c r="C119" s="124" t="s">
        <v>180</v>
      </c>
      <c r="D119" s="122">
        <v>0.7</v>
      </c>
    </row>
    <row r="120" spans="1:4" ht="12.75">
      <c r="A120" s="119">
        <f>A119+D119</f>
        <v>183.60000000000002</v>
      </c>
      <c r="B120" s="123" t="s">
        <v>105</v>
      </c>
      <c r="C120" s="124" t="s">
        <v>182</v>
      </c>
      <c r="D120" s="122">
        <v>1.4</v>
      </c>
    </row>
    <row r="121" spans="1:4" ht="12.75">
      <c r="A121" s="119">
        <f>A120+D120</f>
        <v>185.00000000000003</v>
      </c>
      <c r="B121" s="123" t="s">
        <v>105</v>
      </c>
      <c r="C121" s="124" t="s">
        <v>184</v>
      </c>
      <c r="D121" s="122">
        <v>4.9</v>
      </c>
    </row>
    <row r="122" spans="1:4" ht="12.75">
      <c r="A122" s="119">
        <f>A121+D121</f>
        <v>189.90000000000003</v>
      </c>
      <c r="B122" s="123" t="s">
        <v>108</v>
      </c>
      <c r="C122" s="124" t="s">
        <v>186</v>
      </c>
      <c r="D122" s="122">
        <v>1.6</v>
      </c>
    </row>
    <row r="123" spans="1:4" ht="12.75">
      <c r="A123" s="119">
        <f>A122+D122</f>
        <v>191.50000000000003</v>
      </c>
      <c r="B123" s="123" t="s">
        <v>105</v>
      </c>
      <c r="C123" s="124" t="s">
        <v>188</v>
      </c>
      <c r="D123" s="122">
        <v>14.9</v>
      </c>
    </row>
    <row r="124" spans="1:4" ht="12.75">
      <c r="A124" s="119"/>
      <c r="B124" s="123"/>
      <c r="C124" s="124" t="s">
        <v>190</v>
      </c>
      <c r="D124" s="122"/>
    </row>
    <row r="125" spans="1:5" ht="12.75">
      <c r="A125" s="119">
        <f>A123+D123</f>
        <v>206.40000000000003</v>
      </c>
      <c r="B125" s="123" t="s">
        <v>102</v>
      </c>
      <c r="C125" s="124" t="s">
        <v>192</v>
      </c>
      <c r="D125" s="122">
        <v>5.9</v>
      </c>
      <c r="E125" s="1" t="s">
        <v>244</v>
      </c>
    </row>
    <row r="126" spans="1:4" ht="12.75">
      <c r="A126" s="119">
        <f>A125+D125</f>
        <v>212.30000000000004</v>
      </c>
      <c r="B126" s="123" t="s">
        <v>105</v>
      </c>
      <c r="C126" s="124" t="s">
        <v>194</v>
      </c>
      <c r="D126" s="122">
        <v>1.7</v>
      </c>
    </row>
    <row r="127" spans="1:4" ht="12.75">
      <c r="A127" s="119">
        <f>A126+D126</f>
        <v>214.00000000000003</v>
      </c>
      <c r="B127" s="123" t="s">
        <v>105</v>
      </c>
      <c r="C127" s="124" t="s">
        <v>195</v>
      </c>
      <c r="D127" s="122">
        <v>0.4</v>
      </c>
    </row>
    <row r="128" spans="1:4" ht="12.75">
      <c r="A128" s="119">
        <f>A127+D127</f>
        <v>214.40000000000003</v>
      </c>
      <c r="B128" s="123" t="s">
        <v>108</v>
      </c>
      <c r="C128" s="124" t="s">
        <v>197</v>
      </c>
      <c r="D128" s="122">
        <v>3.2</v>
      </c>
    </row>
    <row r="129" spans="1:4" ht="12.75">
      <c r="A129" s="119">
        <f>A128+D128</f>
        <v>217.60000000000002</v>
      </c>
      <c r="B129" s="123" t="s">
        <v>105</v>
      </c>
      <c r="C129" s="124" t="s">
        <v>199</v>
      </c>
      <c r="D129" s="122">
        <v>3.4</v>
      </c>
    </row>
    <row r="130" spans="1:4" ht="12.75">
      <c r="A130" s="119">
        <f>A129+D129</f>
        <v>221.00000000000003</v>
      </c>
      <c r="B130" s="123" t="s">
        <v>105</v>
      </c>
      <c r="C130" s="124" t="s">
        <v>201</v>
      </c>
      <c r="D130" s="122">
        <v>8</v>
      </c>
    </row>
    <row r="131" spans="1:4" ht="12.75">
      <c r="A131" s="119"/>
      <c r="B131" s="123"/>
      <c r="C131" s="124"/>
      <c r="D131" s="122"/>
    </row>
    <row r="132" spans="1:5" ht="12.75">
      <c r="A132" s="132">
        <f>A130+D130</f>
        <v>229.00000000000003</v>
      </c>
      <c r="B132" s="125" t="s">
        <v>105</v>
      </c>
      <c r="C132" s="125" t="s">
        <v>203</v>
      </c>
      <c r="D132" s="150">
        <v>0</v>
      </c>
      <c r="E132" s="1" t="s">
        <v>244</v>
      </c>
    </row>
    <row r="133" spans="1:4" ht="12.75">
      <c r="A133" s="132"/>
      <c r="B133" s="125"/>
      <c r="C133" s="125" t="s">
        <v>205</v>
      </c>
      <c r="D133" s="150"/>
    </row>
    <row r="134" spans="1:4" ht="12.75">
      <c r="A134" s="119"/>
      <c r="B134" s="123"/>
      <c r="C134" s="124"/>
      <c r="D134" s="122"/>
    </row>
    <row r="135" spans="1:4" ht="12.75">
      <c r="A135" s="119"/>
      <c r="B135" s="123"/>
      <c r="C135" s="124"/>
      <c r="D135" s="122"/>
    </row>
    <row r="136" spans="1:4" ht="12.75">
      <c r="A136" s="119"/>
      <c r="B136" s="123"/>
      <c r="C136" s="124"/>
      <c r="D136" s="122"/>
    </row>
    <row r="137" spans="1:4" ht="12.75">
      <c r="A137" s="119"/>
      <c r="B137" s="123"/>
      <c r="C137" s="124"/>
      <c r="D137" s="122"/>
    </row>
    <row r="138" spans="1:4" ht="12.75">
      <c r="A138" s="154"/>
      <c r="B138" s="139"/>
      <c r="C138" s="140"/>
      <c r="D138" s="138"/>
    </row>
    <row r="139" ht="3" customHeight="1"/>
    <row r="140" spans="1:4" ht="60.75">
      <c r="A140" s="115" t="s">
        <v>97</v>
      </c>
      <c r="B140" s="116" t="s">
        <v>98</v>
      </c>
      <c r="C140" s="117" t="s">
        <v>99</v>
      </c>
      <c r="D140" s="118" t="s">
        <v>100</v>
      </c>
    </row>
    <row r="141" spans="1:4" ht="12.75">
      <c r="A141" s="119"/>
      <c r="B141" s="123" t="s">
        <v>143</v>
      </c>
      <c r="C141" s="124" t="s">
        <v>207</v>
      </c>
      <c r="D141" s="122"/>
    </row>
    <row r="142" spans="1:4" ht="12.75">
      <c r="A142" s="119">
        <f>A132+D132</f>
        <v>229.00000000000003</v>
      </c>
      <c r="B142" s="123" t="s">
        <v>102</v>
      </c>
      <c r="C142" s="124" t="s">
        <v>252</v>
      </c>
      <c r="D142" s="122">
        <v>14.2</v>
      </c>
    </row>
    <row r="143" spans="1:4" ht="12.75">
      <c r="A143" s="119">
        <f>A142+D142</f>
        <v>243.20000000000002</v>
      </c>
      <c r="B143" s="123" t="s">
        <v>105</v>
      </c>
      <c r="C143" s="124" t="s">
        <v>209</v>
      </c>
      <c r="D143" s="122">
        <v>21.5</v>
      </c>
    </row>
    <row r="144" spans="1:5" ht="12.75">
      <c r="A144" s="119">
        <f>A143+D143</f>
        <v>264.70000000000005</v>
      </c>
      <c r="B144" s="123" t="s">
        <v>108</v>
      </c>
      <c r="C144" s="124" t="s">
        <v>253</v>
      </c>
      <c r="D144" s="122">
        <v>1</v>
      </c>
      <c r="E144" s="1" t="s">
        <v>244</v>
      </c>
    </row>
    <row r="145" spans="1:4" ht="12.75">
      <c r="A145" s="119">
        <f>A144+D144</f>
        <v>265.70000000000005</v>
      </c>
      <c r="B145" s="123" t="s">
        <v>102</v>
      </c>
      <c r="C145" s="124" t="s">
        <v>254</v>
      </c>
      <c r="D145" s="122">
        <v>1.7</v>
      </c>
    </row>
    <row r="146" spans="1:4" ht="12.75">
      <c r="A146" s="119">
        <f>A145+D145</f>
        <v>267.40000000000003</v>
      </c>
      <c r="B146" s="123" t="s">
        <v>105</v>
      </c>
      <c r="C146" s="124" t="s">
        <v>255</v>
      </c>
      <c r="D146" s="122">
        <v>0</v>
      </c>
    </row>
    <row r="147" spans="1:4" ht="12.75">
      <c r="A147" s="119"/>
      <c r="B147" s="123"/>
      <c r="C147" s="124"/>
      <c r="D147" s="122"/>
    </row>
    <row r="148" spans="1:5" ht="12.75">
      <c r="A148" s="147"/>
      <c r="B148" s="125"/>
      <c r="C148" s="125" t="s">
        <v>256</v>
      </c>
      <c r="D148" s="122"/>
      <c r="E148" s="1" t="s">
        <v>244</v>
      </c>
    </row>
    <row r="149" spans="1:4" ht="12.75">
      <c r="A149" s="132"/>
      <c r="B149" s="125"/>
      <c r="C149" s="125" t="s">
        <v>257</v>
      </c>
      <c r="D149" s="122"/>
    </row>
    <row r="150" spans="1:4" ht="12.75">
      <c r="A150" s="119"/>
      <c r="B150" s="123"/>
      <c r="C150" s="124"/>
      <c r="D150" s="122"/>
    </row>
    <row r="151" spans="1:4" ht="12.75">
      <c r="A151" s="119">
        <f>A146+D146</f>
        <v>267.40000000000003</v>
      </c>
      <c r="B151" s="123" t="s">
        <v>102</v>
      </c>
      <c r="C151" s="124" t="s">
        <v>258</v>
      </c>
      <c r="D151" s="122">
        <v>2.5</v>
      </c>
    </row>
    <row r="152" spans="1:4" ht="12.75">
      <c r="A152" s="119"/>
      <c r="B152" s="123"/>
      <c r="C152" s="124" t="s">
        <v>259</v>
      </c>
      <c r="D152" s="122"/>
    </row>
    <row r="153" spans="1:4" ht="12.75">
      <c r="A153" s="119"/>
      <c r="B153" s="123"/>
      <c r="C153" s="124" t="s">
        <v>210</v>
      </c>
      <c r="D153" s="122"/>
    </row>
    <row r="154" spans="1:4" ht="12.75">
      <c r="A154" s="119">
        <f>A151+D151</f>
        <v>269.90000000000003</v>
      </c>
      <c r="B154" s="123" t="s">
        <v>102</v>
      </c>
      <c r="C154" s="124" t="s">
        <v>260</v>
      </c>
      <c r="D154" s="122">
        <v>3.7</v>
      </c>
    </row>
    <row r="155" spans="1:4" ht="12.75">
      <c r="A155" s="119">
        <f aca="true" t="shared" si="4" ref="A155:A162">A154+D154</f>
        <v>273.6</v>
      </c>
      <c r="B155" s="123" t="s">
        <v>102</v>
      </c>
      <c r="C155" s="124" t="s">
        <v>261</v>
      </c>
      <c r="D155" s="122">
        <v>7.2</v>
      </c>
    </row>
    <row r="156" spans="1:4" ht="12.75">
      <c r="A156" s="119">
        <f t="shared" si="4"/>
        <v>280.8</v>
      </c>
      <c r="B156" s="123" t="s">
        <v>102</v>
      </c>
      <c r="C156" s="124" t="s">
        <v>215</v>
      </c>
      <c r="D156" s="122">
        <v>9.3</v>
      </c>
    </row>
    <row r="157" spans="1:4" ht="12.75">
      <c r="A157" s="119">
        <f t="shared" si="4"/>
        <v>290.1</v>
      </c>
      <c r="B157" s="123" t="s">
        <v>108</v>
      </c>
      <c r="C157" s="124" t="s">
        <v>216</v>
      </c>
      <c r="D157" s="122">
        <v>2.7</v>
      </c>
    </row>
    <row r="158" spans="1:4" ht="12.75">
      <c r="A158" s="119">
        <f t="shared" si="4"/>
        <v>292.8</v>
      </c>
      <c r="B158" s="123" t="s">
        <v>108</v>
      </c>
      <c r="C158" s="124" t="s">
        <v>262</v>
      </c>
      <c r="D158" s="122">
        <v>0.1</v>
      </c>
    </row>
    <row r="159" spans="1:4" ht="12.75">
      <c r="A159" s="119">
        <f t="shared" si="4"/>
        <v>292.90000000000003</v>
      </c>
      <c r="B159" s="123" t="s">
        <v>105</v>
      </c>
      <c r="C159" s="124" t="s">
        <v>218</v>
      </c>
      <c r="D159" s="122">
        <v>2.2</v>
      </c>
    </row>
    <row r="160" spans="1:4" ht="12.75">
      <c r="A160" s="119">
        <f t="shared" si="4"/>
        <v>295.1</v>
      </c>
      <c r="B160" s="123" t="s">
        <v>102</v>
      </c>
      <c r="C160" s="124" t="s">
        <v>219</v>
      </c>
      <c r="D160" s="122">
        <v>0</v>
      </c>
    </row>
    <row r="161" spans="1:4" ht="12.75">
      <c r="A161" s="119">
        <f t="shared" si="4"/>
        <v>295.1</v>
      </c>
      <c r="B161" s="123" t="s">
        <v>105</v>
      </c>
      <c r="C161" s="124" t="s">
        <v>263</v>
      </c>
      <c r="D161" s="122">
        <v>2</v>
      </c>
    </row>
    <row r="162" spans="1:4" ht="12.75">
      <c r="A162" s="154">
        <f t="shared" si="4"/>
        <v>297.1</v>
      </c>
      <c r="B162" s="139" t="s">
        <v>108</v>
      </c>
      <c r="C162" s="140" t="s">
        <v>221</v>
      </c>
      <c r="D162" s="138">
        <v>1.2</v>
      </c>
    </row>
    <row r="163" ht="3" customHeight="1"/>
    <row r="164" spans="1:4" ht="60.75">
      <c r="A164" s="115" t="s">
        <v>97</v>
      </c>
      <c r="B164" s="116" t="s">
        <v>98</v>
      </c>
      <c r="C164" s="117" t="s">
        <v>99</v>
      </c>
      <c r="D164" s="118" t="s">
        <v>100</v>
      </c>
    </row>
    <row r="165" spans="1:4" ht="12.75">
      <c r="A165" s="119">
        <f>A162+D162</f>
        <v>298.3</v>
      </c>
      <c r="B165" s="123" t="s">
        <v>105</v>
      </c>
      <c r="C165" s="124" t="s">
        <v>222</v>
      </c>
      <c r="D165" s="134">
        <v>1.7</v>
      </c>
    </row>
    <row r="166" spans="1:4" ht="12.75">
      <c r="A166" s="119">
        <f>A165+D165</f>
        <v>300</v>
      </c>
      <c r="B166" s="123" t="s">
        <v>108</v>
      </c>
      <c r="C166" s="124" t="s">
        <v>223</v>
      </c>
      <c r="D166" s="134">
        <v>1.5</v>
      </c>
    </row>
    <row r="167" spans="1:4" ht="12.75">
      <c r="A167" s="119">
        <f>A166+D166</f>
        <v>301.5</v>
      </c>
      <c r="B167" s="123" t="s">
        <v>108</v>
      </c>
      <c r="C167" s="124" t="s">
        <v>264</v>
      </c>
      <c r="D167" s="122">
        <v>6.5</v>
      </c>
    </row>
    <row r="168" spans="1:4" ht="12.75">
      <c r="A168" s="119">
        <f>A167+D167</f>
        <v>308</v>
      </c>
      <c r="B168" s="123" t="s">
        <v>102</v>
      </c>
      <c r="C168" s="124" t="s">
        <v>225</v>
      </c>
      <c r="D168" s="122">
        <v>0</v>
      </c>
    </row>
    <row r="169" spans="1:4" ht="12.75">
      <c r="A169" s="119">
        <f>A168+D168</f>
        <v>308</v>
      </c>
      <c r="B169" s="123" t="s">
        <v>105</v>
      </c>
      <c r="C169" s="124" t="s">
        <v>226</v>
      </c>
      <c r="D169" s="122">
        <v>0.2</v>
      </c>
    </row>
    <row r="170" spans="1:4" ht="12.75">
      <c r="A170" s="119"/>
      <c r="B170" s="123"/>
      <c r="C170" s="124"/>
      <c r="D170" s="122"/>
    </row>
    <row r="171" spans="1:5" ht="12.75">
      <c r="A171" s="132">
        <f>A169+D169</f>
        <v>308.2</v>
      </c>
      <c r="B171" s="125" t="s">
        <v>105</v>
      </c>
      <c r="C171" s="125" t="s">
        <v>208</v>
      </c>
      <c r="D171" s="150"/>
      <c r="E171" s="1" t="s">
        <v>244</v>
      </c>
    </row>
    <row r="172" spans="1:4" ht="12.75">
      <c r="A172" s="119"/>
      <c r="B172" s="125"/>
      <c r="C172" s="125" t="s">
        <v>104</v>
      </c>
      <c r="D172" s="150"/>
    </row>
    <row r="173" spans="1:4" ht="12.75">
      <c r="A173" s="119"/>
      <c r="B173" s="123"/>
      <c r="C173" s="124"/>
      <c r="D173" s="122"/>
    </row>
    <row r="174" spans="1:4" ht="12.75">
      <c r="A174" s="119"/>
      <c r="B174" s="123"/>
      <c r="C174" s="124"/>
      <c r="D174" s="122"/>
    </row>
    <row r="175" spans="1:4" ht="12.75">
      <c r="A175" s="119"/>
      <c r="B175" s="123"/>
      <c r="C175" s="124"/>
      <c r="D175" s="122"/>
    </row>
    <row r="176" spans="1:4" ht="12.75">
      <c r="A176" s="119"/>
      <c r="B176" s="123"/>
      <c r="C176" s="124"/>
      <c r="D176" s="122"/>
    </row>
    <row r="177" spans="1:4" ht="12.75">
      <c r="A177" s="119"/>
      <c r="B177" s="123"/>
      <c r="C177" s="124"/>
      <c r="D177" s="134"/>
    </row>
    <row r="178" spans="1:4" ht="12.75">
      <c r="A178" s="119"/>
      <c r="B178" s="123"/>
      <c r="C178" s="124"/>
      <c r="D178" s="134"/>
    </row>
    <row r="179" spans="1:4" ht="12.75">
      <c r="A179" s="119"/>
      <c r="B179" s="123"/>
      <c r="C179" s="124"/>
      <c r="D179" s="122"/>
    </row>
    <row r="180" spans="1:4" ht="12.75">
      <c r="A180" s="119"/>
      <c r="B180" s="123"/>
      <c r="C180" s="124"/>
      <c r="D180" s="122"/>
    </row>
    <row r="181" spans="1:4" ht="12.75">
      <c r="A181" s="119"/>
      <c r="B181" s="123"/>
      <c r="C181" s="124"/>
      <c r="D181" s="122"/>
    </row>
    <row r="182" spans="1:4" ht="12.75">
      <c r="A182" s="119"/>
      <c r="B182" s="123"/>
      <c r="C182" s="124"/>
      <c r="D182" s="122"/>
    </row>
    <row r="183" spans="1:4" ht="12.75">
      <c r="A183" s="132"/>
      <c r="B183" s="125"/>
      <c r="C183" s="125"/>
      <c r="D183" s="150"/>
    </row>
    <row r="184" spans="1:4" ht="12.75">
      <c r="A184" s="132"/>
      <c r="B184" s="125"/>
      <c r="C184" s="125"/>
      <c r="D184" s="150"/>
    </row>
    <row r="185" spans="1:4" ht="12.75">
      <c r="A185" s="119"/>
      <c r="B185" s="123"/>
      <c r="C185" s="151"/>
      <c r="D185" s="122"/>
    </row>
    <row r="186" spans="1:4" ht="12.75">
      <c r="A186" s="154"/>
      <c r="B186" s="139"/>
      <c r="C186" s="161" t="s">
        <v>227</v>
      </c>
      <c r="D186" s="138"/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15.140625" style="0" customWidth="1"/>
    <col min="3" max="3" width="0.85546875" style="0" customWidth="1"/>
  </cols>
  <sheetData>
    <row r="1" spans="1:4" ht="15">
      <c r="A1" s="163" t="str">
        <f>Brevet_Number</f>
        <v>VI0301A</v>
      </c>
      <c r="B1" s="163"/>
      <c r="C1" s="163"/>
      <c r="D1" s="163"/>
    </row>
    <row r="2" spans="1:4" ht="15">
      <c r="A2" s="164" t="s">
        <v>265</v>
      </c>
      <c r="B2" s="164"/>
      <c r="C2" s="165"/>
      <c r="D2" s="166" t="s">
        <v>266</v>
      </c>
    </row>
    <row r="3" spans="1:5" ht="12.75">
      <c r="A3" s="82">
        <f>Riders!C4</f>
        <v>0</v>
      </c>
      <c r="B3" s="91">
        <f>Riders!B4</f>
        <v>0</v>
      </c>
      <c r="C3" s="91"/>
      <c r="D3" s="167">
        <f>Riders!O4</f>
        <v>0</v>
      </c>
      <c r="E3">
        <f>IF(ISBLANK(Riders!P4),"",Riders!P4)</f>
      </c>
    </row>
    <row r="4" spans="1:5" ht="12.75">
      <c r="A4" s="82">
        <f>Riders!C5</f>
        <v>0</v>
      </c>
      <c r="B4" s="91">
        <f>Riders!B5</f>
        <v>0</v>
      </c>
      <c r="C4" s="91"/>
      <c r="D4" s="167">
        <f>Riders!O5</f>
        <v>0</v>
      </c>
      <c r="E4">
        <f>IF(ISBLANK(Riders!P5),"",Riders!P5)</f>
      </c>
    </row>
    <row r="5" spans="1:5" ht="12.75">
      <c r="A5" s="82">
        <f>Riders!C6</f>
        <v>0</v>
      </c>
      <c r="B5" s="91">
        <f>Riders!B6</f>
        <v>0</v>
      </c>
      <c r="C5" s="91"/>
      <c r="D5" s="167">
        <f>Riders!O6</f>
        <v>0</v>
      </c>
      <c r="E5">
        <f>IF(ISBLANK(Riders!P6),"",Riders!P6)</f>
      </c>
    </row>
    <row r="6" spans="1:5" ht="12.75">
      <c r="A6" s="82">
        <f>Riders!C7</f>
        <v>0</v>
      </c>
      <c r="B6" s="91">
        <f>Riders!B7</f>
        <v>0</v>
      </c>
      <c r="C6" s="91"/>
      <c r="D6" s="167">
        <f>Riders!O7</f>
        <v>0</v>
      </c>
      <c r="E6">
        <f>IF(ISBLANK(Riders!P7),"",Riders!P7)</f>
      </c>
    </row>
    <row r="7" spans="1:5" ht="12.75">
      <c r="A7" s="82">
        <f>Riders!C8</f>
        <v>0</v>
      </c>
      <c r="B7" s="91">
        <f>Riders!B8</f>
        <v>0</v>
      </c>
      <c r="C7" s="91"/>
      <c r="D7" s="167">
        <f>Riders!O8</f>
        <v>0</v>
      </c>
      <c r="E7">
        <f>IF(ISBLANK(Riders!P8),"",Riders!P8)</f>
      </c>
    </row>
    <row r="8" spans="1:5" ht="12.75">
      <c r="A8" s="82">
        <f>Riders!C9</f>
        <v>0</v>
      </c>
      <c r="B8" s="91">
        <f>Riders!B9</f>
        <v>0</v>
      </c>
      <c r="C8" s="91"/>
      <c r="D8" s="167">
        <f>Riders!O9</f>
        <v>0</v>
      </c>
      <c r="E8">
        <f>IF(ISBLANK(Riders!P9),"",Riders!P9)</f>
      </c>
    </row>
    <row r="9" spans="1:5" ht="12.75">
      <c r="A9" s="82">
        <f>Riders!C10</f>
        <v>0</v>
      </c>
      <c r="B9" s="91">
        <f>Riders!B10</f>
        <v>0</v>
      </c>
      <c r="C9" s="91"/>
      <c r="D9" s="167">
        <f>Riders!O10</f>
        <v>0</v>
      </c>
      <c r="E9">
        <f>IF(ISBLANK(Riders!P10),"",Riders!P10)</f>
      </c>
    </row>
    <row r="10" spans="1:5" ht="12.75">
      <c r="A10" s="82">
        <f>Riders!C11</f>
        <v>0</v>
      </c>
      <c r="B10" s="91">
        <f>Riders!B11</f>
        <v>0</v>
      </c>
      <c r="C10" s="91"/>
      <c r="D10" s="167">
        <f>Riders!O11</f>
        <v>0</v>
      </c>
      <c r="E10">
        <f>IF(ISBLANK(Riders!P11),"",Riders!P11)</f>
      </c>
    </row>
    <row r="11" spans="1:5" ht="12.75">
      <c r="A11" s="82">
        <f>Riders!C12</f>
        <v>0</v>
      </c>
      <c r="B11" s="91">
        <f>Riders!B12</f>
        <v>0</v>
      </c>
      <c r="C11" s="91"/>
      <c r="D11" s="167">
        <f>Riders!O12</f>
        <v>0</v>
      </c>
      <c r="E11">
        <f>IF(ISBLANK(Riders!P12),"",Riders!P12)</f>
      </c>
    </row>
    <row r="12" spans="1:5" ht="12.75">
      <c r="A12" s="82">
        <f>Riders!C13</f>
        <v>0</v>
      </c>
      <c r="B12" s="91">
        <f>Riders!B13</f>
        <v>0</v>
      </c>
      <c r="C12" s="91"/>
      <c r="D12" s="167">
        <f>Riders!O13</f>
        <v>0</v>
      </c>
      <c r="E12">
        <f>IF(ISBLANK(Riders!P13),"",Riders!P13)</f>
      </c>
    </row>
    <row r="13" spans="1:5" ht="12.75">
      <c r="A13" s="82">
        <f>Riders!C14</f>
        <v>0</v>
      </c>
      <c r="B13" s="91">
        <f>Riders!B14</f>
        <v>0</v>
      </c>
      <c r="C13" s="91"/>
      <c r="D13" s="167">
        <f>Riders!O14</f>
        <v>0</v>
      </c>
      <c r="E13">
        <f>IF(ISBLANK(Riders!P14),"",Riders!P14)</f>
      </c>
    </row>
    <row r="14" spans="1:5" ht="12.75">
      <c r="A14" s="82">
        <f>Riders!C15</f>
        <v>0</v>
      </c>
      <c r="B14" s="91">
        <f>Riders!B15</f>
        <v>0</v>
      </c>
      <c r="C14" s="91"/>
      <c r="D14" s="167">
        <f>Riders!O15</f>
        <v>0</v>
      </c>
      <c r="E14">
        <f>IF(ISBLANK(Riders!P15),"",Riders!P15)</f>
      </c>
    </row>
    <row r="15" spans="1:5" ht="12.75">
      <c r="A15" s="82">
        <f>Riders!C16</f>
        <v>0</v>
      </c>
      <c r="B15" s="91">
        <f>Riders!B16</f>
        <v>0</v>
      </c>
      <c r="C15" s="91"/>
      <c r="D15" s="167">
        <f>Riders!O16</f>
        <v>0</v>
      </c>
      <c r="E15">
        <f>IF(ISBLANK(Riders!P16),"",Riders!P16)</f>
      </c>
    </row>
    <row r="16" spans="1:5" ht="12.75">
      <c r="A16" s="82">
        <f>Riders!C17</f>
        <v>0</v>
      </c>
      <c r="B16" s="91">
        <f>Riders!B17</f>
        <v>0</v>
      </c>
      <c r="C16" s="91"/>
      <c r="D16" s="167">
        <f>Riders!O17</f>
        <v>0</v>
      </c>
      <c r="E16">
        <f>IF(ISBLANK(Riders!P17),"",Riders!P17)</f>
      </c>
    </row>
    <row r="17" spans="1:5" ht="12.75">
      <c r="A17" s="82">
        <f>Riders!C18</f>
        <v>0</v>
      </c>
      <c r="B17" s="91">
        <f>Riders!B18</f>
        <v>0</v>
      </c>
      <c r="C17" s="91"/>
      <c r="D17" s="167">
        <f>Riders!O18</f>
        <v>0</v>
      </c>
      <c r="E17">
        <f>IF(ISBLANK(Riders!P18),"",Riders!P18)</f>
      </c>
    </row>
    <row r="18" spans="1:5" ht="12.75">
      <c r="A18" s="82">
        <f>Riders!C19</f>
        <v>0</v>
      </c>
      <c r="B18" s="91">
        <f>Riders!B19</f>
        <v>0</v>
      </c>
      <c r="C18" s="91"/>
      <c r="D18" s="167">
        <f>Riders!O19</f>
        <v>0</v>
      </c>
      <c r="E18">
        <f>IF(ISBLANK(Riders!P19),"",Riders!P19)</f>
      </c>
    </row>
    <row r="19" spans="1:5" ht="12.75">
      <c r="A19" s="82">
        <f>Riders!C20</f>
        <v>0</v>
      </c>
      <c r="B19" s="91">
        <f>Riders!B20</f>
        <v>0</v>
      </c>
      <c r="C19" s="91"/>
      <c r="D19" s="167">
        <f>Riders!O20</f>
        <v>0</v>
      </c>
      <c r="E19">
        <f>IF(ISBLANK(Riders!P20),"",Riders!P20)</f>
      </c>
    </row>
    <row r="20" spans="1:5" ht="12.75">
      <c r="A20" s="82">
        <f>Riders!C21</f>
        <v>0</v>
      </c>
      <c r="B20" s="91">
        <f>Riders!B21</f>
        <v>0</v>
      </c>
      <c r="C20" s="91"/>
      <c r="D20" s="167">
        <f>Riders!O21</f>
        <v>0</v>
      </c>
      <c r="E20">
        <f>IF(ISBLANK(Riders!P21),"",Riders!P21)</f>
      </c>
    </row>
    <row r="21" spans="1:5" ht="12.75">
      <c r="A21" s="82">
        <f>Riders!C22</f>
        <v>0</v>
      </c>
      <c r="B21" s="91">
        <f>Riders!B22</f>
        <v>0</v>
      </c>
      <c r="C21" s="91"/>
      <c r="D21" s="167">
        <f>Riders!O22</f>
        <v>0</v>
      </c>
      <c r="E21">
        <f>IF(ISBLANK(Riders!P22),"",Riders!P22)</f>
      </c>
    </row>
    <row r="22" spans="1:5" ht="12.75">
      <c r="A22" s="82">
        <f>Riders!C23</f>
        <v>0</v>
      </c>
      <c r="B22" s="91">
        <f>Riders!B23</f>
        <v>0</v>
      </c>
      <c r="C22" s="91"/>
      <c r="D22" s="167">
        <f>Riders!O23</f>
        <v>0</v>
      </c>
      <c r="E22">
        <f>IF(ISBLANK(Riders!P23),"",Riders!P23)</f>
      </c>
    </row>
    <row r="23" spans="1:5" ht="12.75">
      <c r="A23" s="82">
        <f>Riders!C24</f>
        <v>0</v>
      </c>
      <c r="B23" s="91">
        <f>Riders!B24</f>
        <v>0</v>
      </c>
      <c r="C23" s="91"/>
      <c r="D23" s="167">
        <f>Riders!O24</f>
        <v>0</v>
      </c>
      <c r="E23">
        <f>IF(ISBLANK(Riders!P24),"",Riders!P24)</f>
      </c>
    </row>
    <row r="24" spans="1:5" ht="12.75">
      <c r="A24" s="82">
        <f>Riders!C25</f>
        <v>0</v>
      </c>
      <c r="B24" s="91">
        <f>Riders!B25</f>
        <v>0</v>
      </c>
      <c r="C24" s="91"/>
      <c r="D24" s="167">
        <f>Riders!O25</f>
        <v>0</v>
      </c>
      <c r="E24">
        <f>IF(ISBLANK(Riders!P25),"",Riders!P25)</f>
      </c>
    </row>
    <row r="25" spans="1:5" ht="12.75">
      <c r="A25" s="82">
        <f>Riders!C26</f>
        <v>0</v>
      </c>
      <c r="B25" s="91">
        <f>Riders!B26</f>
        <v>0</v>
      </c>
      <c r="C25" s="91"/>
      <c r="D25" s="167">
        <f>Riders!O26</f>
        <v>0</v>
      </c>
      <c r="E25">
        <f>IF(ISBLANK(Riders!P26),"",Riders!P26)</f>
      </c>
    </row>
    <row r="26" spans="1:5" ht="12.75">
      <c r="A26" s="82">
        <f>Riders!C27</f>
        <v>0</v>
      </c>
      <c r="B26" s="91">
        <f>Riders!B27</f>
        <v>0</v>
      </c>
      <c r="C26" s="91"/>
      <c r="D26" s="167">
        <f>Riders!O27</f>
        <v>0</v>
      </c>
      <c r="E26">
        <f>IF(ISBLANK(Riders!P27),"",Riders!P27)</f>
      </c>
    </row>
    <row r="27" spans="1:5" ht="12.75">
      <c r="A27" s="82">
        <f>Riders!C28</f>
        <v>0</v>
      </c>
      <c r="B27" s="91">
        <f>Riders!B28</f>
        <v>0</v>
      </c>
      <c r="C27" s="91"/>
      <c r="D27" s="167">
        <f>Riders!O28</f>
        <v>0</v>
      </c>
      <c r="E27">
        <f>IF(ISBLANK(Riders!P28),"",Riders!P28)</f>
      </c>
    </row>
    <row r="28" spans="1:5" ht="12.75">
      <c r="A28" s="82">
        <f>Riders!C29</f>
        <v>0</v>
      </c>
      <c r="B28" s="91">
        <f>Riders!B29</f>
        <v>0</v>
      </c>
      <c r="C28" s="91"/>
      <c r="D28" s="167">
        <f>Riders!O29</f>
        <v>0</v>
      </c>
      <c r="E28">
        <f>IF(ISBLANK(Riders!P29),"",Riders!P29)</f>
      </c>
    </row>
    <row r="29" spans="1:4" ht="12.75">
      <c r="A29" s="82"/>
      <c r="B29" s="91"/>
      <c r="C29" s="91"/>
      <c r="D29" s="167"/>
    </row>
    <row r="30" spans="1:4" ht="12.75">
      <c r="A30" s="82"/>
      <c r="B30" s="91"/>
      <c r="C30" s="91"/>
      <c r="D30" s="167"/>
    </row>
    <row r="31" spans="1:4" ht="12.75">
      <c r="A31" s="82"/>
      <c r="B31" s="91"/>
      <c r="C31" s="91"/>
      <c r="D31" s="167"/>
    </row>
    <row r="32" spans="1:4" ht="12.75">
      <c r="A32" s="82"/>
      <c r="B32" s="91"/>
      <c r="C32" s="91"/>
      <c r="D32" s="167"/>
    </row>
    <row r="33" spans="1:4" ht="12.75">
      <c r="A33" s="87"/>
      <c r="B33" s="74"/>
      <c r="C33" s="74"/>
      <c r="D33" s="168"/>
    </row>
    <row r="35" ht="12.75">
      <c r="A35" t="s">
        <v>267</v>
      </c>
    </row>
    <row r="36" ht="12.75">
      <c r="A36" t="s">
        <v>268</v>
      </c>
    </row>
    <row r="37" ht="12.75">
      <c r="A37" t="s">
        <v>269</v>
      </c>
    </row>
    <row r="38" ht="12.75">
      <c r="A38" t="s">
        <v>270</v>
      </c>
    </row>
  </sheetData>
  <sheetProtection selectLockedCells="1" selectUnlockedCells="1"/>
  <mergeCells count="2">
    <mergeCell ref="A1:D1"/>
    <mergeCell ref="A2:B2"/>
  </mergeCells>
  <printOptions/>
  <pageMargins left="0.7479166666666667" right="0.7479166666666667" top="0.9847222222222222" bottom="0.9840277777777777" header="0.31527777777777777" footer="0.5118055555555555"/>
  <pageSetup fitToHeight="1" fitToWidth="1" horizontalDpi="300" verticalDpi="300" orientation="portrait"/>
  <headerFooter alignWithMargins="0">
    <oddHeader>&amp;C&amp;"Arial,Bold"&amp;12RESULTS
&amp;"Arial,Regular"&amp;10Island 200 km Brevet
1st April, 2000</oddHeader>
    <oddFooter>&amp;L&amp;F
&amp;A&amp;CPage &amp;P&amp;R&amp;D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B1">
      <selection activeCell="C3" sqref="C3"/>
    </sheetView>
  </sheetViews>
  <sheetFormatPr defaultColWidth="9.140625" defaultRowHeight="12.75"/>
  <cols>
    <col min="1" max="1" width="0" style="0" hidden="1" customWidth="1"/>
    <col min="2" max="2" width="3.00390625" style="0" customWidth="1"/>
    <col min="3" max="8" width="15.140625" style="0" customWidth="1"/>
  </cols>
  <sheetData>
    <row r="2" spans="1:8" ht="12.75">
      <c r="A2" s="92"/>
      <c r="B2" s="74"/>
      <c r="C2" s="93" t="s">
        <v>81</v>
      </c>
      <c r="D2" s="93" t="s">
        <v>80</v>
      </c>
      <c r="E2" s="95"/>
      <c r="F2" s="95"/>
      <c r="G2" s="93"/>
      <c r="H2" s="93"/>
    </row>
    <row r="3" spans="1:8" ht="12.75">
      <c r="A3" s="92">
        <v>4</v>
      </c>
      <c r="B3" s="169">
        <v>1</v>
      </c>
      <c r="C3" s="104">
        <f>Riders!C4</f>
        <v>0</v>
      </c>
      <c r="D3" s="104">
        <f>Riders!B4</f>
        <v>0</v>
      </c>
      <c r="E3" s="105"/>
      <c r="F3" s="105"/>
      <c r="G3" s="104"/>
      <c r="H3" s="104"/>
    </row>
    <row r="4" spans="1:8" ht="12.75">
      <c r="A4" s="92">
        <v>2</v>
      </c>
      <c r="B4" s="104">
        <v>2</v>
      </c>
      <c r="C4" s="104">
        <f>Riders!C5</f>
        <v>0</v>
      </c>
      <c r="D4" s="104">
        <f>Riders!B5</f>
        <v>0</v>
      </c>
      <c r="E4" s="105"/>
      <c r="F4" s="105"/>
      <c r="G4" s="104"/>
      <c r="H4" s="104"/>
    </row>
    <row r="5" spans="1:8" ht="12.75">
      <c r="A5" s="92"/>
      <c r="B5" s="104">
        <v>3</v>
      </c>
      <c r="C5" s="104">
        <f>Riders!C6</f>
        <v>0</v>
      </c>
      <c r="D5" s="104">
        <f>Riders!B6</f>
        <v>0</v>
      </c>
      <c r="E5" s="105"/>
      <c r="F5" s="105"/>
      <c r="G5" s="104"/>
      <c r="H5" s="104"/>
    </row>
    <row r="6" spans="1:8" ht="12.75">
      <c r="A6" s="92">
        <v>3</v>
      </c>
      <c r="B6" s="104">
        <v>4</v>
      </c>
      <c r="C6" s="104">
        <f>Riders!C7</f>
        <v>0</v>
      </c>
      <c r="D6" s="104">
        <f>Riders!B7</f>
        <v>0</v>
      </c>
      <c r="E6" s="105"/>
      <c r="F6" s="105"/>
      <c r="G6" s="104"/>
      <c r="H6" s="104"/>
    </row>
    <row r="7" spans="1:8" ht="12.75">
      <c r="A7" s="92"/>
      <c r="B7" s="104">
        <v>5</v>
      </c>
      <c r="C7" s="104">
        <f>Riders!C8</f>
        <v>0</v>
      </c>
      <c r="D7" s="104">
        <f>Riders!B8</f>
        <v>0</v>
      </c>
      <c r="E7" s="105"/>
      <c r="F7" s="105"/>
      <c r="G7" s="104"/>
      <c r="H7" s="104"/>
    </row>
    <row r="8" spans="1:8" ht="12.75">
      <c r="A8" s="92"/>
      <c r="B8" s="104">
        <v>6</v>
      </c>
      <c r="C8" s="104">
        <f>Riders!C9</f>
        <v>0</v>
      </c>
      <c r="D8" s="104">
        <f>Riders!B9</f>
        <v>0</v>
      </c>
      <c r="E8" s="105"/>
      <c r="F8" s="105"/>
      <c r="G8" s="104"/>
      <c r="H8" s="104"/>
    </row>
    <row r="9" spans="1:8" ht="12.75">
      <c r="A9" s="92"/>
      <c r="B9" s="104">
        <v>7</v>
      </c>
      <c r="C9" s="104">
        <f>Riders!C10</f>
        <v>0</v>
      </c>
      <c r="D9" s="104">
        <f>Riders!B10</f>
        <v>0</v>
      </c>
      <c r="E9" s="105"/>
      <c r="F9" s="105"/>
      <c r="G9" s="104"/>
      <c r="H9" s="104"/>
    </row>
    <row r="10" spans="1:8" ht="12.75">
      <c r="A10" s="92"/>
      <c r="B10" s="104">
        <v>8</v>
      </c>
      <c r="C10" s="104">
        <f>Riders!C11</f>
        <v>0</v>
      </c>
      <c r="D10" s="104">
        <f>Riders!B11</f>
        <v>0</v>
      </c>
      <c r="E10" s="105"/>
      <c r="F10" s="105"/>
      <c r="G10" s="104"/>
      <c r="H10" s="104"/>
    </row>
    <row r="11" spans="1:8" ht="12.75">
      <c r="A11" s="92"/>
      <c r="B11" s="104">
        <v>9</v>
      </c>
      <c r="C11" s="104">
        <f>Riders!C12</f>
        <v>0</v>
      </c>
      <c r="D11" s="104">
        <f>Riders!B12</f>
        <v>0</v>
      </c>
      <c r="E11" s="105"/>
      <c r="F11" s="105"/>
      <c r="G11" s="104"/>
      <c r="H11" s="104"/>
    </row>
    <row r="12" spans="1:8" ht="12.75">
      <c r="A12" s="92"/>
      <c r="B12" s="104">
        <v>10</v>
      </c>
      <c r="C12" s="104">
        <f>Riders!C13</f>
        <v>0</v>
      </c>
      <c r="D12" s="104">
        <f>Riders!B13</f>
        <v>0</v>
      </c>
      <c r="E12" s="105"/>
      <c r="F12" s="105"/>
      <c r="G12" s="170"/>
      <c r="H12" s="104"/>
    </row>
    <row r="13" spans="1:8" ht="12.75">
      <c r="A13" s="92"/>
      <c r="B13" s="104">
        <v>11</v>
      </c>
      <c r="C13" s="104">
        <f>Riders!C14</f>
        <v>0</v>
      </c>
      <c r="D13" s="104">
        <f>Riders!B14</f>
        <v>0</v>
      </c>
      <c r="E13" s="105"/>
      <c r="F13" s="105"/>
      <c r="G13" s="104"/>
      <c r="H13" s="104"/>
    </row>
    <row r="14" spans="1:8" ht="12.75">
      <c r="A14" s="92"/>
      <c r="B14" s="104">
        <v>12</v>
      </c>
      <c r="C14" s="104">
        <f>Riders!C15</f>
        <v>0</v>
      </c>
      <c r="D14" s="104">
        <f>Riders!B15</f>
        <v>0</v>
      </c>
      <c r="E14" s="105"/>
      <c r="F14" s="105"/>
      <c r="G14" s="104"/>
      <c r="H14" s="104"/>
    </row>
    <row r="15" spans="1:8" ht="12.75">
      <c r="A15" s="92">
        <v>6</v>
      </c>
      <c r="B15" s="104">
        <v>13</v>
      </c>
      <c r="C15" s="104">
        <f>Riders!C16</f>
        <v>0</v>
      </c>
      <c r="D15" s="104">
        <f>Riders!B16</f>
        <v>0</v>
      </c>
      <c r="E15" s="105"/>
      <c r="F15" s="105"/>
      <c r="G15" s="104"/>
      <c r="H15" s="104"/>
    </row>
    <row r="16" spans="1:8" ht="12.75">
      <c r="A16" s="92"/>
      <c r="B16" s="104">
        <v>14</v>
      </c>
      <c r="C16" s="104">
        <f>Riders!C17</f>
        <v>0</v>
      </c>
      <c r="D16" s="104">
        <f>Riders!B17</f>
        <v>0</v>
      </c>
      <c r="E16" s="105"/>
      <c r="F16" s="105"/>
      <c r="G16" s="104"/>
      <c r="H16" s="104"/>
    </row>
    <row r="17" spans="1:8" ht="12.75">
      <c r="A17" s="92"/>
      <c r="B17" s="104">
        <v>15</v>
      </c>
      <c r="C17" s="104">
        <f>Riders!C18</f>
        <v>0</v>
      </c>
      <c r="D17" s="104">
        <f>Riders!B18</f>
        <v>0</v>
      </c>
      <c r="E17" s="105"/>
      <c r="F17" s="105"/>
      <c r="G17" s="104"/>
      <c r="H17" s="104"/>
    </row>
    <row r="18" spans="1:8" ht="12.75">
      <c r="A18" s="92"/>
      <c r="B18" s="104">
        <v>16</v>
      </c>
      <c r="C18" s="104">
        <f>Riders!C19</f>
        <v>0</v>
      </c>
      <c r="D18" s="104">
        <f>Riders!B19</f>
        <v>0</v>
      </c>
      <c r="E18" s="105"/>
      <c r="F18" s="105"/>
      <c r="G18" s="104"/>
      <c r="H18" s="104"/>
    </row>
    <row r="19" spans="1:8" ht="12.75">
      <c r="A19" s="92">
        <v>5</v>
      </c>
      <c r="B19" s="104">
        <v>17</v>
      </c>
      <c r="C19" s="104">
        <f>Riders!C20</f>
        <v>0</v>
      </c>
      <c r="D19" s="104">
        <f>Riders!B20</f>
        <v>0</v>
      </c>
      <c r="E19" s="105"/>
      <c r="F19" s="105"/>
      <c r="G19" s="104"/>
      <c r="H19" s="104"/>
    </row>
    <row r="20" spans="1:8" ht="12.75">
      <c r="A20" s="92"/>
      <c r="B20" s="104">
        <v>18</v>
      </c>
      <c r="C20" s="104">
        <f>Riders!C21</f>
        <v>0</v>
      </c>
      <c r="D20" s="104">
        <f>Riders!B21</f>
        <v>0</v>
      </c>
      <c r="E20" s="105"/>
      <c r="F20" s="105"/>
      <c r="G20" s="104"/>
      <c r="H20" s="104"/>
    </row>
    <row r="21" spans="1:8" ht="12.75">
      <c r="A21" s="92"/>
      <c r="B21" s="104">
        <v>19</v>
      </c>
      <c r="C21" s="104">
        <f>Riders!C22</f>
        <v>0</v>
      </c>
      <c r="D21" s="104">
        <f>Riders!B22</f>
        <v>0</v>
      </c>
      <c r="E21" s="105"/>
      <c r="F21" s="105"/>
      <c r="G21" s="104"/>
      <c r="H21" s="104"/>
    </row>
    <row r="22" spans="1:8" ht="12.75">
      <c r="A22" s="92"/>
      <c r="B22" s="104">
        <v>20</v>
      </c>
      <c r="C22" s="104">
        <f>Riders!C23</f>
        <v>0</v>
      </c>
      <c r="D22" s="104">
        <f>Riders!B23</f>
        <v>0</v>
      </c>
      <c r="E22" s="105"/>
      <c r="F22" s="105"/>
      <c r="G22" s="104"/>
      <c r="H22" s="104"/>
    </row>
    <row r="23" spans="1:8" ht="12.75">
      <c r="A23" s="92"/>
      <c r="B23" s="104">
        <v>21</v>
      </c>
      <c r="C23" s="104">
        <f>Riders!C24</f>
        <v>0</v>
      </c>
      <c r="D23" s="104">
        <f>Riders!B24</f>
        <v>0</v>
      </c>
      <c r="E23" s="105"/>
      <c r="F23" s="105"/>
      <c r="G23" s="104"/>
      <c r="H23" s="104"/>
    </row>
    <row r="24" spans="1:8" ht="12.75">
      <c r="A24" s="92"/>
      <c r="B24" s="104">
        <v>22</v>
      </c>
      <c r="C24" s="104">
        <f>Riders!C25</f>
        <v>0</v>
      </c>
      <c r="D24" s="104">
        <f>Riders!B25</f>
        <v>0</v>
      </c>
      <c r="E24" s="105"/>
      <c r="F24" s="105"/>
      <c r="G24" s="104"/>
      <c r="H24" s="104"/>
    </row>
    <row r="25" spans="1:8" ht="12.75">
      <c r="A25" s="92"/>
      <c r="B25" s="104">
        <v>23</v>
      </c>
      <c r="C25" s="104"/>
      <c r="D25" s="104"/>
      <c r="E25" s="105"/>
      <c r="F25" s="105"/>
      <c r="G25" s="104"/>
      <c r="H25" s="104"/>
    </row>
    <row r="26" spans="1:8" ht="12.75">
      <c r="A26" s="92"/>
      <c r="B26" s="104">
        <v>24</v>
      </c>
      <c r="C26" s="104"/>
      <c r="D26" s="104"/>
      <c r="E26" s="105"/>
      <c r="F26" s="105"/>
      <c r="G26" s="104"/>
      <c r="H26" s="104"/>
    </row>
    <row r="27" spans="1:8" ht="12.75">
      <c r="A27" s="92"/>
      <c r="B27" s="104">
        <v>25</v>
      </c>
      <c r="C27" s="104"/>
      <c r="D27" s="104"/>
      <c r="E27" s="105"/>
      <c r="F27" s="105"/>
      <c r="G27" s="104"/>
      <c r="H27" s="104"/>
    </row>
    <row r="28" spans="1:8" ht="12.75">
      <c r="A28" s="92"/>
      <c r="B28" s="104">
        <v>26</v>
      </c>
      <c r="C28" s="104"/>
      <c r="D28" s="104"/>
      <c r="E28" s="105"/>
      <c r="F28" s="105"/>
      <c r="G28" s="104"/>
      <c r="H28" s="104"/>
    </row>
    <row r="29" spans="1:8" ht="12.75">
      <c r="A29" s="92"/>
      <c r="B29" s="104">
        <v>27</v>
      </c>
      <c r="C29" s="104"/>
      <c r="D29" s="104"/>
      <c r="E29" s="105"/>
      <c r="F29" s="105"/>
      <c r="G29" s="104"/>
      <c r="H29" s="104"/>
    </row>
    <row r="30" spans="1:8" ht="12.75">
      <c r="A30" s="92"/>
      <c r="B30" s="104">
        <v>28</v>
      </c>
      <c r="C30" s="104"/>
      <c r="D30" s="104"/>
      <c r="E30" s="105"/>
      <c r="F30" s="105"/>
      <c r="G30" s="104"/>
      <c r="H30" s="104"/>
    </row>
    <row r="31" spans="1:8" ht="12.75">
      <c r="A31" s="92"/>
      <c r="B31" s="104">
        <v>29</v>
      </c>
      <c r="C31" s="104"/>
      <c r="D31" s="104"/>
      <c r="E31" s="105"/>
      <c r="F31" s="105"/>
      <c r="G31" s="104"/>
      <c r="H31" s="104"/>
    </row>
    <row r="32" spans="1:8" ht="12.75">
      <c r="A32" s="92"/>
      <c r="B32" s="104">
        <v>30</v>
      </c>
      <c r="C32" s="104"/>
      <c r="D32" s="104"/>
      <c r="E32" s="105"/>
      <c r="F32" s="105"/>
      <c r="G32" s="104"/>
      <c r="H32" s="104"/>
    </row>
    <row r="33" spans="1:8" ht="12.75">
      <c r="A33" s="92"/>
      <c r="B33" s="104">
        <v>31</v>
      </c>
      <c r="C33" s="104"/>
      <c r="D33" s="104"/>
      <c r="E33" s="105"/>
      <c r="F33" s="105"/>
      <c r="G33" s="104"/>
      <c r="H33" s="104"/>
    </row>
    <row r="34" spans="1:8" ht="12.75">
      <c r="A34" s="92"/>
      <c r="B34" s="104">
        <v>32</v>
      </c>
      <c r="C34" s="104"/>
      <c r="D34" s="104"/>
      <c r="E34" s="105"/>
      <c r="F34" s="105"/>
      <c r="G34" s="104"/>
      <c r="H34" s="104"/>
    </row>
    <row r="35" spans="2:8" ht="12.75">
      <c r="B35" s="104">
        <v>33</v>
      </c>
      <c r="C35" s="104"/>
      <c r="D35" s="104"/>
      <c r="E35" s="105"/>
      <c r="F35" s="105"/>
      <c r="G35" s="104"/>
      <c r="H35" s="104"/>
    </row>
    <row r="36" spans="2:8" ht="12.75">
      <c r="B36" s="104">
        <v>34</v>
      </c>
      <c r="C36" s="104"/>
      <c r="D36" s="104"/>
      <c r="E36" s="105"/>
      <c r="F36" s="105"/>
      <c r="G36" s="104"/>
      <c r="H36" s="104"/>
    </row>
    <row r="37" spans="2:8" ht="12.75">
      <c r="B37" s="104">
        <v>35</v>
      </c>
      <c r="C37" s="104"/>
      <c r="D37" s="104"/>
      <c r="E37" s="105"/>
      <c r="F37" s="105"/>
      <c r="G37" s="104"/>
      <c r="H37" s="104"/>
    </row>
    <row r="38" spans="2:8" ht="12.75">
      <c r="B38" s="104">
        <v>36</v>
      </c>
      <c r="C38" s="104"/>
      <c r="D38" s="104"/>
      <c r="E38" s="105"/>
      <c r="F38" s="105"/>
      <c r="G38" s="104"/>
      <c r="H38" s="104"/>
    </row>
    <row r="39" spans="2:8" ht="12.75">
      <c r="B39" s="104">
        <v>37</v>
      </c>
      <c r="C39" s="104"/>
      <c r="D39" s="104"/>
      <c r="E39" s="105"/>
      <c r="F39" s="105"/>
      <c r="G39" s="104"/>
      <c r="H39" s="104"/>
    </row>
    <row r="40" spans="2:8" ht="12.75">
      <c r="B40" s="104">
        <v>38</v>
      </c>
      <c r="C40" s="104"/>
      <c r="D40" s="104"/>
      <c r="E40" s="105"/>
      <c r="F40" s="105"/>
      <c r="G40" s="104"/>
      <c r="H40" s="104"/>
    </row>
    <row r="41" spans="2:8" ht="12.75">
      <c r="B41" s="104">
        <v>39</v>
      </c>
      <c r="C41" s="104"/>
      <c r="D41" s="104"/>
      <c r="E41" s="105"/>
      <c r="F41" s="105"/>
      <c r="G41" s="104"/>
      <c r="H41" s="104"/>
    </row>
    <row r="42" spans="2:8" ht="12.75">
      <c r="B42" s="104">
        <v>40</v>
      </c>
      <c r="C42" s="104"/>
      <c r="D42" s="104"/>
      <c r="E42" s="105"/>
      <c r="F42" s="105"/>
      <c r="G42" s="104"/>
      <c r="H42" s="104"/>
    </row>
    <row r="43" spans="2:8" ht="12.75">
      <c r="B43" s="104">
        <v>41</v>
      </c>
      <c r="C43" s="104"/>
      <c r="D43" s="104"/>
      <c r="E43" s="105"/>
      <c r="F43" s="105"/>
      <c r="G43" s="104"/>
      <c r="H43" s="104"/>
    </row>
    <row r="44" spans="2:8" ht="12.75">
      <c r="B44" s="104">
        <v>42</v>
      </c>
      <c r="C44" s="104"/>
      <c r="D44" s="104"/>
      <c r="E44" s="105"/>
      <c r="F44" s="105"/>
      <c r="G44" s="104"/>
      <c r="H44" s="104"/>
    </row>
    <row r="45" spans="2:8" ht="12.75">
      <c r="B45" s="104">
        <v>43</v>
      </c>
      <c r="C45" s="104"/>
      <c r="D45" s="104"/>
      <c r="E45" s="105"/>
      <c r="F45" s="105"/>
      <c r="G45" s="104"/>
      <c r="H45" s="104"/>
    </row>
    <row r="46" spans="2:8" ht="12.75">
      <c r="B46" s="104">
        <v>44</v>
      </c>
      <c r="C46" s="104"/>
      <c r="D46" s="104"/>
      <c r="E46" s="105"/>
      <c r="F46" s="105"/>
      <c r="G46" s="104"/>
      <c r="H46" s="104"/>
    </row>
    <row r="47" spans="2:8" ht="12.75">
      <c r="B47" s="104">
        <v>45</v>
      </c>
      <c r="C47" s="104"/>
      <c r="D47" s="104"/>
      <c r="E47" s="105"/>
      <c r="F47" s="105"/>
      <c r="G47" s="104"/>
      <c r="H47" s="104"/>
    </row>
    <row r="48" spans="2:8" ht="12.75">
      <c r="B48" s="104">
        <v>46</v>
      </c>
      <c r="C48" s="104"/>
      <c r="D48" s="104"/>
      <c r="E48" s="105"/>
      <c r="F48" s="105"/>
      <c r="G48" s="104"/>
      <c r="H48" s="104"/>
    </row>
    <row r="49" spans="2:8" ht="12.75">
      <c r="B49" s="171">
        <v>47</v>
      </c>
      <c r="C49" s="171"/>
      <c r="D49" s="171"/>
      <c r="E49" s="172"/>
      <c r="F49" s="172"/>
      <c r="G49" s="171"/>
      <c r="H49" s="171"/>
    </row>
  </sheetData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/>
  <headerFooter alignWithMargins="0">
    <oddHeader>&amp;LVI0200A&amp;C200km Brevet
Tour of the Cowichan Valley&amp;R!st April 2001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Hinde</dc:creator>
  <cp:keywords/>
  <dc:description/>
  <cp:lastModifiedBy>Stephen Hinde</cp:lastModifiedBy>
  <cp:lastPrinted>2002-06-29T17:37:39Z</cp:lastPrinted>
  <dcterms:created xsi:type="dcterms:W3CDTF">1997-11-12T04:43:39Z</dcterms:created>
  <cp:category/>
  <cp:version/>
  <cp:contentType/>
  <cp:contentStatus/>
</cp:coreProperties>
</file>