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9" activeTab="3"/>
  </bookViews>
  <sheets>
    <sheet name="Control Entry" sheetId="1" r:id="rId1"/>
    <sheet name="Control Sheet" sheetId="2" r:id="rId2"/>
    <sheet name="Riders" sheetId="3" r:id="rId3"/>
    <sheet name="VI0607A 050603" sheetId="4" r:id="rId4"/>
    <sheet name="Web sheet" sheetId="5" r:id="rId5"/>
    <sheet name="Web results" sheetId="6" r:id="rId6"/>
  </sheets>
  <definedNames>
    <definedName name="_xlnm.Print_Area" localSheetId="1">'Control Sheet'!$A$1:$V$63</definedName>
    <definedName name="_xlnm.Print_Titles" localSheetId="1">'Control Sheet'!$1:$2</definedName>
    <definedName name="Address_1">'Riders'!$E$2</definedName>
    <definedName name="Address_2">'Riders'!$F$2</definedName>
    <definedName name="brevet">'Control Entry'!$C$1</definedName>
    <definedName name="Brevet_Description">'Control Entry'!$B$3</definedName>
    <definedName name="Brevet_Length">'Control Entry'!$B$1</definedName>
    <definedName name="Brevet_Number">'Control Entry'!$B$4</definedName>
    <definedName name="City">'Riders'!$G$2</definedName>
    <definedName name="Close">'Control Entry'!$J$10:$J$29</definedName>
    <definedName name="Close_time">'Control Entry'!$L$10:$L$29</definedName>
    <definedName name="Control_1">'Control Entry'!$D$10:$L$10</definedName>
    <definedName name="Control_10">'Control Entry'!$D$19:$L$19</definedName>
    <definedName name="Control_11">'Control Entry'!$D$20:$L$20</definedName>
    <definedName name="Control_12">'Control Entry'!$D$21:$L$21</definedName>
    <definedName name="Control_13">'Control Entry'!$D$22:$L$22</definedName>
    <definedName name="Control_14">'Control Entry'!$D$23:$L$23</definedName>
    <definedName name="Control_15">'Control Entry'!$D$24:$L$24</definedName>
    <definedName name="Control_16">'Control Entry'!$D$25:$L$25</definedName>
    <definedName name="Control_17">'Control Entry'!$D$26:$L$26</definedName>
    <definedName name="Control_18">'Control Entry'!$D$27:$L$27</definedName>
    <definedName name="Control_19">'Control Entry'!$D$28:$L$28</definedName>
    <definedName name="Control_2">'Control Entry'!$D$11:$L$11</definedName>
    <definedName name="Control_20">'Control Entry'!$D$29:$L$29</definedName>
    <definedName name="Control_3">'Control Entry'!$D$12:$L$12</definedName>
    <definedName name="Control_4">'Control Entry'!$D$13:$L$13</definedName>
    <definedName name="Control_5">'Control Entry'!$D$14:$L$14</definedName>
    <definedName name="Control_6">'Control Entry'!$D$15:$L$15</definedName>
    <definedName name="Control_7">'Control Entry'!$D$16:$L$16</definedName>
    <definedName name="Control_8">'Control Entry'!$D$17:$L$17</definedName>
    <definedName name="Control_9">'Control Entry'!$D$18:$L$18</definedName>
    <definedName name="Country">'Riders'!$I$2</definedName>
    <definedName name="Distance">'Control Entry'!$D$10:$D$29</definedName>
    <definedName name="email">'Riders'!$N$2</definedName>
    <definedName name="Establishment_1">'Control Entry'!$F$10:$F$29</definedName>
    <definedName name="Establishment_2">'Control Entry'!$G$10:$G$29</definedName>
    <definedName name="Establishment_3">'Control Entry'!$H$10:$H$29</definedName>
    <definedName name="Fax">'Riders'!$M$2</definedName>
    <definedName name="First_Name">'Riders'!$C$2</definedName>
    <definedName name="Home_telephone">'Riders'!$K$2</definedName>
    <definedName name="Initial">'Riders'!$D$2</definedName>
    <definedName name="Locale">'Control Entry'!$E$10:$E$29</definedName>
    <definedName name="Max_time">'Control Entry'!$B$2</definedName>
    <definedName name="Open">'Control Entry'!$I$10:$I$29</definedName>
    <definedName name="Open_time">'Control Entry'!$K$10:$K$29</definedName>
    <definedName name="Postal_Code">'Riders'!$J$2</definedName>
    <definedName name="Province_State">'Riders'!$H$2</definedName>
    <definedName name="Start_date">'Control Entry'!$B$5</definedName>
    <definedName name="Start_time">'Control Entry'!$B$6</definedName>
    <definedName name="surname">'Riders'!$B$2</definedName>
    <definedName name="Work_telephone">'Riders'!$L$2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B2" authorId="0">
      <text>
        <r>
          <rPr>
            <sz val="8"/>
            <color indexed="8"/>
            <rFont val="Tahoma"/>
            <family val="2"/>
          </rPr>
          <t>Partial result of closing time calculation to avoid limitation of only 7 nested functions</t>
        </r>
      </text>
    </comment>
  </commentList>
</comments>
</file>

<file path=xl/sharedStrings.xml><?xml version="1.0" encoding="utf-8"?>
<sst xmlns="http://schemas.openxmlformats.org/spreadsheetml/2006/main" count="804" uniqueCount="380">
  <si>
    <t>Brevet Length:</t>
  </si>
  <si>
    <t>Maximum Time:</t>
  </si>
  <si>
    <t>Brevet Description:</t>
  </si>
  <si>
    <t>Gold River Explorer</t>
  </si>
  <si>
    <t>Brevet Number:</t>
  </si>
  <si>
    <t>VI0607A</t>
  </si>
  <si>
    <t>Start Date:</t>
  </si>
  <si>
    <t>Start Time:</t>
  </si>
  <si>
    <t>Control</t>
  </si>
  <si>
    <t>Distance</t>
  </si>
  <si>
    <t>Locale</t>
  </si>
  <si>
    <t>Establishment 1</t>
  </si>
  <si>
    <t>Establishment 2</t>
  </si>
  <si>
    <t>Establishment 3</t>
  </si>
  <si>
    <t>Open</t>
  </si>
  <si>
    <t>Close</t>
  </si>
  <si>
    <t>Open time</t>
  </si>
  <si>
    <t>Close time</t>
  </si>
  <si>
    <t>Control 1</t>
  </si>
  <si>
    <t>CAMPBELL RIVER</t>
  </si>
  <si>
    <t>Mohawk Gas</t>
  </si>
  <si>
    <t>Island Hwy@</t>
  </si>
  <si>
    <t>Redwood</t>
  </si>
  <si>
    <t>Control 2</t>
  </si>
  <si>
    <t>GOLD RIVER</t>
  </si>
  <si>
    <t>Air Nootka</t>
  </si>
  <si>
    <t>Government Dock</t>
  </si>
  <si>
    <t>Control 3</t>
  </si>
  <si>
    <t>7-11</t>
  </si>
  <si>
    <t>Dogwood@</t>
  </si>
  <si>
    <t>2nd</t>
  </si>
  <si>
    <t>Control 4</t>
  </si>
  <si>
    <t>BUCKLEY BAY</t>
  </si>
  <si>
    <t>Store</t>
  </si>
  <si>
    <t>or BCFerries</t>
  </si>
  <si>
    <t>Control 5</t>
  </si>
  <si>
    <t>COMOX</t>
  </si>
  <si>
    <t>Your choice</t>
  </si>
  <si>
    <t>Anderton@</t>
  </si>
  <si>
    <t>Guthrie</t>
  </si>
  <si>
    <t>Control 6</t>
  </si>
  <si>
    <t>Control 7</t>
  </si>
  <si>
    <t>Control 8</t>
  </si>
  <si>
    <t>SECRET</t>
  </si>
  <si>
    <t>Control 9</t>
  </si>
  <si>
    <t>Control 10</t>
  </si>
  <si>
    <t>Control 11</t>
  </si>
  <si>
    <t>Control 12</t>
  </si>
  <si>
    <t>CUMBERLAND</t>
  </si>
  <si>
    <t>3rd@</t>
  </si>
  <si>
    <t>Royston</t>
  </si>
  <si>
    <t>Control 13</t>
  </si>
  <si>
    <t>Control 14</t>
  </si>
  <si>
    <t>Control 15</t>
  </si>
  <si>
    <t>Control 16</t>
  </si>
  <si>
    <t>Control 17</t>
  </si>
  <si>
    <t>Control 18</t>
  </si>
  <si>
    <t>Control 19</t>
  </si>
  <si>
    <t>Control 20</t>
  </si>
  <si>
    <t>We thank you for verifying the passage of the Randonneur</t>
  </si>
  <si>
    <t>|</t>
  </si>
  <si>
    <t>DIST (km)</t>
  </si>
  <si>
    <t>Establishment</t>
  </si>
  <si>
    <t>Signature</t>
  </si>
  <si>
    <t>Time of Passage</t>
  </si>
  <si>
    <t>Control Card #2</t>
  </si>
  <si>
    <t>Name</t>
  </si>
  <si>
    <t>Address</t>
  </si>
  <si>
    <t>City</t>
  </si>
  <si>
    <t>Province/State</t>
  </si>
  <si>
    <t>Country</t>
  </si>
  <si>
    <t>Postal Code</t>
  </si>
  <si>
    <t>Telephone</t>
  </si>
  <si>
    <t>email</t>
  </si>
  <si>
    <t>Under the sanction of Cycling BC</t>
  </si>
  <si>
    <t>Founding member of LES RANDONNEURS MONDIAUX (1983)</t>
  </si>
  <si>
    <t>Each Randonneur must carry a Control Card, have it signed at the control between the opening and closing times, and return it to the organizer.</t>
  </si>
  <si>
    <t>Date</t>
  </si>
  <si>
    <t>Start time</t>
  </si>
  <si>
    <t>Finish time</t>
  </si>
  <si>
    <t>Elapsed time</t>
  </si>
  <si>
    <t>Rider's signature at completion</t>
  </si>
  <si>
    <t>Randonneur Committee Authorization</t>
  </si>
  <si>
    <t>cel (250)246-0911</t>
  </si>
  <si>
    <t>Brevet No.</t>
  </si>
  <si>
    <t>Control Card #1</t>
  </si>
  <si>
    <t>Surname</t>
  </si>
  <si>
    <t>First Name</t>
  </si>
  <si>
    <t>Initial</t>
  </si>
  <si>
    <t>Address 1</t>
  </si>
  <si>
    <t>Address 2</t>
  </si>
  <si>
    <t>Home telephone</t>
  </si>
  <si>
    <t>Work telephone</t>
  </si>
  <si>
    <t>Fax</t>
  </si>
  <si>
    <t>Finish Time</t>
  </si>
  <si>
    <t>Codes</t>
  </si>
  <si>
    <t>Rand Memb</t>
  </si>
  <si>
    <t>Pin</t>
  </si>
  <si>
    <t>Hotel Reservation</t>
  </si>
  <si>
    <t>r - 1/2 hr - route violation</t>
  </si>
  <si>
    <t>l - 1/2 hr - no lights</t>
  </si>
  <si>
    <t>f - 1/2 hr - no fenders</t>
  </si>
  <si>
    <t>e - rode early</t>
  </si>
  <si>
    <t>d - rode late</t>
  </si>
  <si>
    <t>At  km</t>
  </si>
  <si>
    <t>Turn</t>
  </si>
  <si>
    <t>onto  ROUTE</t>
  </si>
  <si>
    <t xml:space="preserve"> then   Go km</t>
  </si>
  <si>
    <t>START--Mohawk Gas</t>
  </si>
  <si>
    <t>U</t>
  </si>
  <si>
    <t>HWY 28 (Return to Gold River)</t>
  </si>
  <si>
    <t>Island Hwy @ Redwood</t>
  </si>
  <si>
    <t>(If  Control #1 closed, have</t>
  </si>
  <si>
    <t>Campbell River</t>
  </si>
  <si>
    <t>card signed here as "Secret".)</t>
  </si>
  <si>
    <t>R</t>
  </si>
  <si>
    <t xml:space="preserve">GOLD RIVER (Hwy 28)(@stop) </t>
  </si>
  <si>
    <t>ISLAND HWY (north)</t>
  </si>
  <si>
    <t>L</t>
  </si>
  <si>
    <t xml:space="preserve">HWY 28 (@stop after bridge) </t>
  </si>
  <si>
    <t>cross Willow (Hwy 19)</t>
  </si>
  <si>
    <t>SO</t>
  </si>
  <si>
    <t>Pass Strathcona Lodge</t>
  </si>
  <si>
    <t>HWY 28 (to Gold River)</t>
  </si>
  <si>
    <t>ARGONAUT (past radio signs)</t>
  </si>
  <si>
    <t>QUINSAM (1st left)</t>
  </si>
  <si>
    <t>QUINSAM (@hatchery)(no sign)</t>
  </si>
  <si>
    <t>ARGONAUT (at Hatchery)</t>
  </si>
  <si>
    <t>NURSERY (hidden intersection)</t>
  </si>
  <si>
    <t>HWY 28 (@T)</t>
  </si>
  <si>
    <t>EAGLE (speed bumps@stop)</t>
  </si>
  <si>
    <t>FARWELL (no sign)</t>
  </si>
  <si>
    <t>HWY 28 (across bridge)</t>
  </si>
  <si>
    <t>WILLIS (@stop)</t>
  </si>
  <si>
    <t>MUCHALAT (@Payless)</t>
  </si>
  <si>
    <t>cross Hwy 19 (@lights)</t>
  </si>
  <si>
    <t xml:space="preserve">Note: use washrooms here.  No </t>
  </si>
  <si>
    <t>PETERSEN (@T)</t>
  </si>
  <si>
    <t>facilities at control</t>
  </si>
  <si>
    <t>EVERGREEN (@stop)</t>
  </si>
  <si>
    <t>S. McPHEDRAN (bottom of hill)</t>
  </si>
  <si>
    <t>CONTROL #1--Air Nootka</t>
  </si>
  <si>
    <t>2nd (top of hill)</t>
  </si>
  <si>
    <t>CONTROL #2--Your choice</t>
  </si>
  <si>
    <t>Gold River</t>
  </si>
  <si>
    <t>2nd &amp; Dogwood</t>
  </si>
  <si>
    <t>(If control closed, self check,</t>
  </si>
  <si>
    <t>then use Secret Control below)</t>
  </si>
  <si>
    <t>Note:  Subway L behind pawnbroker</t>
  </si>
  <si>
    <t>SOUTH DOGWOOD (south)</t>
  </si>
  <si>
    <t>thru 7-11 lot to cul-de-sac</t>
  </si>
  <si>
    <t>JUBILEE PARKWAY (lights)</t>
  </si>
  <si>
    <t>FITZGERALD PL. (back of lot)</t>
  </si>
  <si>
    <t>HWY 19 (south)(lights)</t>
  </si>
  <si>
    <t>FITZGERALD AVE. (@stop)</t>
  </si>
  <si>
    <t>EXIT 101 (to Denman Island)</t>
  </si>
  <si>
    <t>2nd (no choice)</t>
  </si>
  <si>
    <t>BUCKLEY BAY (@stop)</t>
  </si>
  <si>
    <t>CLIFFE (@stop@T)</t>
  </si>
  <si>
    <t>cross Island Hwy 19A (@lights)</t>
  </si>
  <si>
    <t>1st (@stop)</t>
  </si>
  <si>
    <t>ANDERTON (@stop)</t>
  </si>
  <si>
    <t>CONTROL #3--Store</t>
  </si>
  <si>
    <t>CONDENSORY (@bridge)</t>
  </si>
  <si>
    <t>Buckley Bay</t>
  </si>
  <si>
    <t>PIERCY (1st right)</t>
  </si>
  <si>
    <t>(open 9am-10pm)</t>
  </si>
  <si>
    <t>DOVE CREEK (1st right)</t>
  </si>
  <si>
    <t>(or BC Ferries, open 6:30am-11pm)</t>
  </si>
  <si>
    <t>(note: button for lights at bridge)</t>
  </si>
  <si>
    <t>HEADQUARTERS (@stop @T)</t>
  </si>
  <si>
    <t>ISLAND HWY (19A) (lights)</t>
  </si>
  <si>
    <t>COMOX (lights@bridge)</t>
  </si>
  <si>
    <t>ANDERTON(@lights to CFB Comox)</t>
  </si>
  <si>
    <t>BUCKLEY BAY FRTG. (north exit)</t>
  </si>
  <si>
    <t>BUCKLEY BAY FRTG. (1st right)</t>
  </si>
  <si>
    <t>CONTROL #4--Your choice</t>
  </si>
  <si>
    <t>HWY 19A (north)(@stop)</t>
  </si>
  <si>
    <t>Guthrie&amp;Anderton</t>
  </si>
  <si>
    <t>HWY 19A (Cliffe)(@ 29th St.lights)</t>
  </si>
  <si>
    <t>Comox</t>
  </si>
  <si>
    <t xml:space="preserve">Into 7-11 lot </t>
  </si>
  <si>
    <t>(If Control #3 closed, have</t>
  </si>
  <si>
    <t>(If control closed, self check)</t>
  </si>
  <si>
    <t>GUTHRIE (east)(@lights)</t>
  </si>
  <si>
    <t>LAZO (@stop@T)</t>
  </si>
  <si>
    <t>KNIGHT (@Kye Bay)(no sign)</t>
  </si>
  <si>
    <t>MILITARY ROW (@stop past airport)</t>
  </si>
  <si>
    <t>LITTLE RIVER (@Ryan)</t>
  </si>
  <si>
    <t>KILMORLEY(1st right)(GriffinPubsign)</t>
  </si>
  <si>
    <t>SWITCH TO</t>
  </si>
  <si>
    <t>ASTRA (1st left)(down hill)</t>
  </si>
  <si>
    <t>BOOTH (no choice)</t>
  </si>
  <si>
    <t>LITTLE RIVER ( @stop@T)</t>
  </si>
  <si>
    <t>CONTROL</t>
  </si>
  <si>
    <t>WILKINSON (immediate)(@no exit)</t>
  </si>
  <si>
    <t>ELLENOR (@ stop)</t>
  </si>
  <si>
    <t>ANDERTON(toBatesBeachCampground)</t>
  </si>
  <si>
    <t>CARD #2</t>
  </si>
  <si>
    <t>(don't go up the big hill!)</t>
  </si>
  <si>
    <t>WAVELAND (slight left bend)</t>
  </si>
  <si>
    <t>BATES(to CR Hwy19A sign)</t>
  </si>
  <si>
    <t>COLEMAN (@stop)</t>
  </si>
  <si>
    <t>HWY 19A (@Jubilee Pkwy lights)</t>
  </si>
  <si>
    <t>HWY 19A (to ferry)</t>
  </si>
  <si>
    <t>CONTROL #5--Mohawk Gas</t>
  </si>
  <si>
    <t>ISLAND HWY (south)</t>
  </si>
  <si>
    <t>WAVELAND (@stop)</t>
  </si>
  <si>
    <t>ROBERTS REACH (@lights afterTH)</t>
  </si>
  <si>
    <t>ANDERTON (slight right bend)</t>
  </si>
  <si>
    <t>16th (@stop)</t>
  </si>
  <si>
    <t>ELLENOR (@stop)</t>
  </si>
  <si>
    <t>SHOPPERS ROW (@right bend)</t>
  </si>
  <si>
    <t>WILKINSON (before ferry)</t>
  </si>
  <si>
    <t>SHOPPERS ROW (11th) (@stop)</t>
  </si>
  <si>
    <t>LITTLE RIVER (@stop@T)</t>
  </si>
  <si>
    <t>ISLAND HWY (19A)(@lights)</t>
  </si>
  <si>
    <t>BOOTH (immediate)</t>
  </si>
  <si>
    <t>ASTRA (no choice)</t>
  </si>
  <si>
    <t>continue south thru Oyster Bay</t>
  </si>
  <si>
    <t>KILMORLEY (top of hill)</t>
  </si>
  <si>
    <t>start 4 lane</t>
  </si>
  <si>
    <t>LITTLE RIVER (@stop@T)(no sign)</t>
  </si>
  <si>
    <t>TERRAIN (1st left)</t>
  </si>
  <si>
    <t>MILITARY ROW (@Ryan)</t>
  </si>
  <si>
    <t>REGENT (@stop)</t>
  </si>
  <si>
    <t>KNIGHT (to airport)(sharp turn)</t>
  </si>
  <si>
    <t>SARATOGA (1st left after river)</t>
  </si>
  <si>
    <t>LAZO (@Kye Bay)(no sign)</t>
  </si>
  <si>
    <t>EYRE (1st left)</t>
  </si>
  <si>
    <t>pass Golby on right</t>
  </si>
  <si>
    <t>CLARKSON (@stop)</t>
  </si>
  <si>
    <t>GUTHRIE (no sign)</t>
  </si>
  <si>
    <t>MIRACLE BEACH (@stop@T)</t>
  </si>
  <si>
    <t>entering Comox &amp; deer warning</t>
  </si>
  <si>
    <t>ISLAND HWY (19A) (south)(@stop)</t>
  </si>
  <si>
    <t>HOWARD (to Mt. Washington)</t>
  </si>
  <si>
    <t>CONTROL #6--Your choice</t>
  </si>
  <si>
    <t>MERVILLE (@stop)</t>
  </si>
  <si>
    <t>Anderton&amp;Guthrie</t>
  </si>
  <si>
    <t>POULTON (@left bend)</t>
  </si>
  <si>
    <t>cross Island Hwy 19A (@stop)</t>
  </si>
  <si>
    <t>COLMAN</t>
  </si>
  <si>
    <t>BATES (@stop)</t>
  </si>
  <si>
    <t>ANDERTON (@lights)(south)</t>
  </si>
  <si>
    <t>MENZIES (after tracks)</t>
  </si>
  <si>
    <t>COMOX (@lights@T)</t>
  </si>
  <si>
    <t>1st (no choice)</t>
  </si>
  <si>
    <t>ISLAND HWY 19A (lights@bridge)</t>
  </si>
  <si>
    <t>BOOD (@stop)</t>
  </si>
  <si>
    <t>HEADQUARTERS (@2nd lights)</t>
  </si>
  <si>
    <t>WEBB (1st left)</t>
  </si>
  <si>
    <t>HEADQUARTERS (@stop)</t>
  </si>
  <si>
    <t>LAKE TRAIL (@stop@T)(no sign)</t>
  </si>
  <si>
    <t>FITZGERALD (@stop)</t>
  </si>
  <si>
    <t>MARSDEN (2nd left)</t>
  </si>
  <si>
    <t>TSOLUM RIVER (1st left)</t>
  </si>
  <si>
    <t>CUMBERLAND (@stop@T)(no sign)</t>
  </si>
  <si>
    <t>COMOX VALLEY PKWAY(@lights)</t>
  </si>
  <si>
    <t>DOVE CREEK (to ski areas)</t>
  </si>
  <si>
    <t>under Hwy 19</t>
  </si>
  <si>
    <t>CUMBERLAND (no sign)</t>
  </si>
  <si>
    <t>PIERCY (@T)</t>
  </si>
  <si>
    <t>CONDENSORY (@stop@flashlight)</t>
  </si>
  <si>
    <t>CONTROL #7--Gas-N-Go</t>
  </si>
  <si>
    <t>ANDERTON (@bridge)</t>
  </si>
  <si>
    <t>Cumberland@Bevan</t>
  </si>
  <si>
    <t>1st (first left)</t>
  </si>
  <si>
    <t>Cumberland</t>
  </si>
  <si>
    <t>DUNCAN (2nd left)</t>
  </si>
  <si>
    <t>(open 6:30am-11pm)</t>
  </si>
  <si>
    <t>2nd (first right)</t>
  </si>
  <si>
    <t>FITZGERALD (no choice)</t>
  </si>
  <si>
    <t>3rd (first right@stop)</t>
  </si>
  <si>
    <t>HARMSTON (no choice)</t>
  </si>
  <si>
    <t>4th (first right@stop)</t>
  </si>
  <si>
    <t>JOHNSTON (@stop)</t>
  </si>
  <si>
    <t>5th (@stop)</t>
  </si>
  <si>
    <t>CUMBERLAND (continue west)</t>
  </si>
  <si>
    <t xml:space="preserve">BUCKLEY BAY </t>
  </si>
  <si>
    <t>4th (@Peace Park)</t>
  </si>
  <si>
    <t>DUNSMUIR (@stop)</t>
  </si>
  <si>
    <t>INLAND HWY 19 (north)</t>
  </si>
  <si>
    <t>ROYSTON (no sign)</t>
  </si>
  <si>
    <t>TAMARAC (HWY 19)(@14th)</t>
  </si>
  <si>
    <t xml:space="preserve">over Hwy 19 </t>
  </si>
  <si>
    <t>ISLAND HWY 19 (@ Woodburn)</t>
  </si>
  <si>
    <t>ISLAND HWY 19A @lights)</t>
  </si>
  <si>
    <t>DUNCAN BAY (BargeTerminal on R)</t>
  </si>
  <si>
    <t>pass Baynes Sound Rest Area</t>
  </si>
  <si>
    <t>GORDON (no exit ahead)</t>
  </si>
  <si>
    <t>BUCKLEY BAY FRTG (1st left)</t>
  </si>
  <si>
    <t>cross unnamed road (@stop)</t>
  </si>
  <si>
    <t>BREWSTER LAKE (@stop)(no sign)</t>
  </si>
  <si>
    <t>(towards campsites)</t>
  </si>
  <si>
    <t>CONTROL #8--Store</t>
  </si>
  <si>
    <t>cross dam</t>
  </si>
  <si>
    <t>HWY 28 (@stop)</t>
  </si>
  <si>
    <t>cross Hwy 19</t>
  </si>
  <si>
    <t>ISLAND HWY 19A</t>
  </si>
  <si>
    <t>FINISH--Mohawk Gas</t>
  </si>
  <si>
    <t>CONGRATULATIONS!!!</t>
  </si>
  <si>
    <t>START--Payless Gas, Langford</t>
  </si>
  <si>
    <t>Go to 100 km point</t>
  </si>
  <si>
    <t>Hwy #1 @ Spencer</t>
  </si>
  <si>
    <t>Go to 200 km point</t>
  </si>
  <si>
    <t>Go to 300 km point</t>
  </si>
  <si>
    <t>HWY #1 (north to Nanaimo)</t>
  </si>
  <si>
    <t>Go to 400 km point</t>
  </si>
  <si>
    <t>north through Mill Bay</t>
  </si>
  <si>
    <t>Go to 500 km point</t>
  </si>
  <si>
    <t>north through Duncan</t>
  </si>
  <si>
    <t>north through Ladysmith</t>
  </si>
  <si>
    <t>Go to Control #1</t>
  </si>
  <si>
    <t>HWY #1 (Hwy #19)(top of hill)</t>
  </si>
  <si>
    <t>Go to Control #2</t>
  </si>
  <si>
    <t>HWY #1(Hwy #19A) (into Nanaimo)</t>
  </si>
  <si>
    <t>Go to Control #3</t>
  </si>
  <si>
    <t>NICOL (Hwy #1)(entering Nanaimo)</t>
  </si>
  <si>
    <t>Go to Control #4</t>
  </si>
  <si>
    <t>TERMINAL (Hwy #1)(@Commercial)</t>
  </si>
  <si>
    <t>Go to Control #5</t>
  </si>
  <si>
    <t>TERMINAL (Hwy #19A)(@Stewart)</t>
  </si>
  <si>
    <t>Go to Finish</t>
  </si>
  <si>
    <t>CONTROL #1--7-11, Nanaimo</t>
  </si>
  <si>
    <t>Return to start</t>
  </si>
  <si>
    <t>Terminal @ Townsite</t>
  </si>
  <si>
    <t>TERMINAL (Hwy #19A north)</t>
  </si>
  <si>
    <t>N. ISLAND HWY (Hwy #19A)</t>
  </si>
  <si>
    <t>HWY #19</t>
  </si>
  <si>
    <t>Exit to HWY #4A (to Coombs)</t>
  </si>
  <si>
    <t>ALBERNI HWY (Hwy #4A)</t>
  </si>
  <si>
    <t>ALBERNI HWY (Hwy #4)(Memorial)</t>
  </si>
  <si>
    <t>CONTROL #2--7-11, Port Alberni</t>
  </si>
  <si>
    <t>Hwy #4 @ Gertrude</t>
  </si>
  <si>
    <t>Caution:  No services until Tofino</t>
  </si>
  <si>
    <t>HWY #4 (to Tofino)</t>
  </si>
  <si>
    <t>RIVER (Hwy #4)</t>
  </si>
  <si>
    <t xml:space="preserve">HWY #4 </t>
  </si>
  <si>
    <t>HWY #4 (Pacific Rim Hwy)</t>
  </si>
  <si>
    <t>CAMPBELL (enter Tofino)</t>
  </si>
  <si>
    <t>CONTROL #3--Your choice, Tofino</t>
  </si>
  <si>
    <t>Campbell (Hwy #4) @ 1st</t>
  </si>
  <si>
    <t xml:space="preserve">(Services at corner, or one block left </t>
  </si>
  <si>
    <t>to bakery.  Left again down alley to</t>
  </si>
  <si>
    <t>Alley Way Café)</t>
  </si>
  <si>
    <t>U-turn back to Port Alberni</t>
  </si>
  <si>
    <t>HWY #4</t>
  </si>
  <si>
    <t>HWY #4 (to Port Alberni)</t>
  </si>
  <si>
    <t>HWY #4 (to Nanaimo)</t>
  </si>
  <si>
    <t>CONTROL #4--7-11, Port Alberni</t>
  </si>
  <si>
    <t>ALBERNI HWY (Hwy #4A)(Coombs)</t>
  </si>
  <si>
    <t>EXIT to HWY #19 (to Nanaimo)</t>
  </si>
  <si>
    <t>EXIT 29 (HWY #19A)</t>
  </si>
  <si>
    <t>cross Hwy #19 (Nanaimo Pkwy)</t>
  </si>
  <si>
    <t>TERMINAL(Hwy #19A)(@St. George)</t>
  </si>
  <si>
    <t>CONTROL #5--7-11, Nanaimo</t>
  </si>
  <si>
    <t>TERMINAL (Hwy #19A south)</t>
  </si>
  <si>
    <t>TERMINAL (Hwy #1)(@Stewart)</t>
  </si>
  <si>
    <t>NICOL (Hwy #1)(@Commercial)</t>
  </si>
  <si>
    <t>HWY #1 (Hwy #19A)</t>
  </si>
  <si>
    <t>HWY #1 (Hwy #19)</t>
  </si>
  <si>
    <t>HWY #1 (south towards Victoria)</t>
  </si>
  <si>
    <t>South through Ladysmith</t>
  </si>
  <si>
    <t>South through Duncan</t>
  </si>
  <si>
    <t>COBBLE HILL</t>
  </si>
  <si>
    <t>SHAWNIGAN LAKE(@Hutchinson)</t>
  </si>
  <si>
    <t>SHAWNIGAN LAKE (after RR X)</t>
  </si>
  <si>
    <t>SHAWNIGAN LAKE(to Café)</t>
  </si>
  <si>
    <t>SHAWNIGAN LAKE</t>
  </si>
  <si>
    <t>HWY #1</t>
  </si>
  <si>
    <t xml:space="preserve">SPENCER </t>
  </si>
  <si>
    <t>FINISH--Payless Gas, Langford</t>
  </si>
  <si>
    <t>!!! CONGRATULATIONS !!!</t>
  </si>
  <si>
    <t>RIDER</t>
  </si>
  <si>
    <t>TIME</t>
  </si>
  <si>
    <t>Note:  1.  distance in time column represents incomplete ride.</t>
  </si>
  <si>
    <t>………2.  time is in hours and minutes.</t>
  </si>
  <si>
    <t>………3.  Penalties included:  l - 1/2 hr - no lights; f - 1/2 hr - no fenders; r - 1/2 hr - route violation</t>
  </si>
  <si>
    <t>………4.  Other codes:  e - rode early; d - rode late</t>
  </si>
</sst>
</file>

<file path=xl/styles.xml><?xml version="1.0" encoding="utf-8"?>
<styleSheet xmlns="http://schemas.openxmlformats.org/spreadsheetml/2006/main">
  <numFmts count="12">
    <numFmt numFmtId="164" formatCode="GENERAL"/>
    <numFmt numFmtId="165" formatCode="GENERAL"/>
    <numFmt numFmtId="166" formatCode="@"/>
    <numFmt numFmtId="167" formatCode="D\-MMM\-YY"/>
    <numFmt numFmtId="168" formatCode="H:MM"/>
    <numFmt numFmtId="169" formatCode="0.0"/>
    <numFmt numFmtId="170" formatCode="DD/MMM/YY\ HH:MM\ AM/PM"/>
    <numFmt numFmtId="171" formatCode="DDDD"/>
    <numFmt numFmtId="172" formatCode="H:MM\ AM/PM"/>
    <numFmt numFmtId="173" formatCode="D/MMM/YY"/>
    <numFmt numFmtId="174" formatCode="[&lt;=9999999]###\-####;\(###&quot;) &quot;###\-####"/>
    <numFmt numFmtId="175" formatCode="MMMM\ D&quot;, &quot;YYYY"/>
  </numFmts>
  <fonts count="19">
    <font>
      <sz val="10"/>
      <name val="Arial"/>
      <family val="2"/>
    </font>
    <font>
      <sz val="8"/>
      <color indexed="8"/>
      <name val="Tahoma"/>
      <family val="2"/>
    </font>
    <font>
      <i/>
      <sz val="16"/>
      <name val="Arial"/>
      <family val="2"/>
    </font>
    <font>
      <sz val="14"/>
      <name val="Arial"/>
      <family val="2"/>
    </font>
    <font>
      <sz val="14"/>
      <name val="Arial Narrow"/>
      <family val="2"/>
    </font>
    <font>
      <b/>
      <sz val="14"/>
      <name val="Arial Narrow"/>
      <family val="2"/>
    </font>
    <font>
      <b/>
      <sz val="16"/>
      <name val="Arial Narrow"/>
      <family val="2"/>
    </font>
    <font>
      <sz val="36"/>
      <name val="Arial"/>
      <family val="2"/>
    </font>
    <font>
      <sz val="16"/>
      <name val="Arial"/>
      <family val="2"/>
    </font>
    <font>
      <i/>
      <sz val="14"/>
      <name val="Arial"/>
      <family val="2"/>
    </font>
    <font>
      <sz val="20"/>
      <name val="Arial"/>
      <family val="2"/>
    </font>
    <font>
      <sz val="1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2"/>
      <color indexed="12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41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14">
    <xf numFmtId="164" fontId="0" fillId="0" borderId="0" xfId="0" applyAlignment="1">
      <alignment/>
    </xf>
    <xf numFmtId="164" fontId="0" fillId="0" borderId="0" xfId="0" applyAlignment="1">
      <alignment horizontal="right"/>
    </xf>
    <xf numFmtId="164" fontId="0" fillId="0" borderId="0" xfId="0" applyAlignment="1" applyProtection="1">
      <alignment/>
      <protection hidden="1"/>
    </xf>
    <xf numFmtId="164" fontId="0" fillId="2" borderId="1" xfId="0" applyFont="1" applyFill="1" applyBorder="1" applyAlignment="1">
      <alignment horizontal="right"/>
    </xf>
    <xf numFmtId="164" fontId="0" fillId="0" borderId="2" xfId="0" applyBorder="1" applyAlignment="1" applyProtection="1">
      <alignment/>
      <protection locked="0"/>
    </xf>
    <xf numFmtId="164" fontId="0" fillId="0" borderId="0" xfId="0" applyAlignment="1">
      <alignment/>
    </xf>
    <xf numFmtId="164" fontId="0" fillId="2" borderId="3" xfId="0" applyFont="1" applyFill="1" applyBorder="1" applyAlignment="1">
      <alignment horizontal="right"/>
    </xf>
    <xf numFmtId="164" fontId="0" fillId="2" borderId="4" xfId="0" applyFill="1" applyBorder="1" applyAlignment="1">
      <alignment/>
    </xf>
    <xf numFmtId="164" fontId="0" fillId="0" borderId="5" xfId="0" applyFont="1" applyBorder="1" applyAlignment="1" applyProtection="1">
      <alignment horizontal="center"/>
      <protection locked="0"/>
    </xf>
    <xf numFmtId="166" fontId="0" fillId="0" borderId="4" xfId="0" applyNumberFormat="1" applyFont="1" applyBorder="1" applyAlignment="1" applyProtection="1">
      <alignment/>
      <protection locked="0"/>
    </xf>
    <xf numFmtId="164" fontId="0" fillId="0" borderId="0" xfId="0" applyBorder="1" applyAlignment="1" applyProtection="1">
      <alignment horizontal="center"/>
      <protection hidden="1"/>
    </xf>
    <xf numFmtId="164" fontId="0" fillId="0" borderId="0" xfId="0" applyBorder="1" applyAlignment="1">
      <alignment horizontal="center"/>
    </xf>
    <xf numFmtId="167" fontId="0" fillId="0" borderId="4" xfId="0" applyNumberFormat="1" applyBorder="1" applyAlignment="1" applyProtection="1">
      <alignment/>
      <protection locked="0"/>
    </xf>
    <xf numFmtId="164" fontId="0" fillId="2" borderId="6" xfId="0" applyFont="1" applyFill="1" applyBorder="1" applyAlignment="1">
      <alignment horizontal="right"/>
    </xf>
    <xf numFmtId="168" fontId="0" fillId="0" borderId="7" xfId="0" applyNumberFormat="1" applyBorder="1" applyAlignment="1" applyProtection="1">
      <alignment/>
      <protection locked="0"/>
    </xf>
    <xf numFmtId="164" fontId="0" fillId="2" borderId="5" xfId="0" applyFont="1" applyFill="1" applyBorder="1" applyAlignment="1">
      <alignment horizontal="center"/>
    </xf>
    <xf numFmtId="164" fontId="0" fillId="2" borderId="0" xfId="0" applyFill="1" applyAlignment="1">
      <alignment/>
    </xf>
    <xf numFmtId="164" fontId="0" fillId="2" borderId="8" xfId="0" applyFont="1" applyFill="1" applyBorder="1" applyAlignment="1">
      <alignment/>
    </xf>
    <xf numFmtId="164" fontId="0" fillId="2" borderId="9" xfId="0" applyFont="1" applyFill="1" applyBorder="1" applyAlignment="1">
      <alignment/>
    </xf>
    <xf numFmtId="164" fontId="0" fillId="2" borderId="10" xfId="0" applyFont="1" applyFill="1" applyBorder="1" applyAlignment="1">
      <alignment/>
    </xf>
    <xf numFmtId="169" fontId="0" fillId="0" borderId="11" xfId="0" applyNumberFormat="1" applyBorder="1" applyAlignment="1" applyProtection="1">
      <alignment/>
      <protection locked="0"/>
    </xf>
    <xf numFmtId="164" fontId="0" fillId="0" borderId="12" xfId="0" applyFont="1" applyBorder="1" applyAlignment="1" applyProtection="1">
      <alignment/>
      <protection locked="0"/>
    </xf>
    <xf numFmtId="166" fontId="0" fillId="0" borderId="12" xfId="0" applyNumberFormat="1" applyFont="1" applyBorder="1" applyAlignment="1" applyProtection="1">
      <alignment horizontal="center"/>
      <protection locked="0"/>
    </xf>
    <xf numFmtId="166" fontId="0" fillId="0" borderId="4" xfId="0" applyNumberFormat="1" applyFont="1" applyBorder="1" applyAlignment="1" applyProtection="1">
      <alignment horizontal="center"/>
      <protection locked="0"/>
    </xf>
    <xf numFmtId="170" fontId="0" fillId="0" borderId="0" xfId="0" applyNumberFormat="1" applyBorder="1" applyAlignment="1">
      <alignment/>
    </xf>
    <xf numFmtId="170" fontId="0" fillId="0" borderId="0" xfId="0" applyNumberFormat="1" applyBorder="1" applyAlignment="1">
      <alignment horizontal="center" vertical="center" wrapText="1"/>
    </xf>
    <xf numFmtId="169" fontId="0" fillId="0" borderId="13" xfId="0" applyNumberFormat="1" applyBorder="1" applyAlignment="1" applyProtection="1">
      <alignment/>
      <protection locked="0"/>
    </xf>
    <xf numFmtId="164" fontId="0" fillId="0" borderId="14" xfId="0" applyFont="1" applyBorder="1" applyAlignment="1" applyProtection="1">
      <alignment/>
      <protection locked="0"/>
    </xf>
    <xf numFmtId="166" fontId="0" fillId="0" borderId="14" xfId="0" applyNumberFormat="1" applyBorder="1" applyAlignment="1" applyProtection="1">
      <alignment horizontal="center"/>
      <protection locked="0"/>
    </xf>
    <xf numFmtId="166" fontId="0" fillId="0" borderId="7" xfId="0" applyNumberFormat="1" applyBorder="1" applyAlignment="1" applyProtection="1">
      <alignment horizontal="center"/>
      <protection locked="0"/>
    </xf>
    <xf numFmtId="164" fontId="0" fillId="0" borderId="15" xfId="0" applyBorder="1" applyAlignment="1">
      <alignment/>
    </xf>
    <xf numFmtId="164" fontId="0" fillId="0" borderId="0" xfId="0" applyBorder="1" applyAlignment="1">
      <alignment/>
    </xf>
    <xf numFmtId="164" fontId="2" fillId="0" borderId="0" xfId="0" applyFont="1" applyBorder="1" applyAlignment="1">
      <alignment horizontal="center" vertical="center"/>
    </xf>
    <xf numFmtId="164" fontId="3" fillId="2" borderId="5" xfId="0" applyFont="1" applyFill="1" applyBorder="1" applyAlignment="1">
      <alignment horizontal="center" wrapText="1"/>
    </xf>
    <xf numFmtId="164" fontId="3" fillId="2" borderId="5" xfId="0" applyFont="1" applyFill="1" applyBorder="1" applyAlignment="1">
      <alignment horizontal="center"/>
    </xf>
    <xf numFmtId="168" fontId="0" fillId="0" borderId="0" xfId="0" applyNumberFormat="1" applyAlignment="1">
      <alignment/>
    </xf>
    <xf numFmtId="169" fontId="4" fillId="0" borderId="15" xfId="0" applyNumberFormat="1" applyFont="1" applyBorder="1" applyAlignment="1">
      <alignment horizontal="center" wrapText="1"/>
    </xf>
    <xf numFmtId="171" fontId="4" fillId="0" borderId="15" xfId="0" applyNumberFormat="1" applyFont="1" applyBorder="1" applyAlignment="1">
      <alignment horizontal="center" vertical="center" wrapText="1"/>
    </xf>
    <xf numFmtId="164" fontId="4" fillId="0" borderId="16" xfId="0" applyFont="1" applyBorder="1" applyAlignment="1">
      <alignment horizontal="center" vertical="center"/>
    </xf>
    <xf numFmtId="164" fontId="5" fillId="0" borderId="15" xfId="0" applyFont="1" applyBorder="1" applyAlignment="1">
      <alignment horizontal="center" vertical="center" wrapText="1"/>
    </xf>
    <xf numFmtId="164" fontId="3" fillId="0" borderId="16" xfId="0" applyFont="1" applyBorder="1" applyAlignment="1">
      <alignment horizontal="center"/>
    </xf>
    <xf numFmtId="164" fontId="3" fillId="0" borderId="15" xfId="0" applyFont="1" applyBorder="1" applyAlignment="1">
      <alignment horizontal="center" wrapText="1"/>
    </xf>
    <xf numFmtId="164" fontId="0" fillId="0" borderId="0" xfId="0" applyAlignment="1">
      <alignment vertical="top" textRotation="90"/>
    </xf>
    <xf numFmtId="169" fontId="6" fillId="0" borderId="15" xfId="0" applyNumberFormat="1" applyFont="1" applyBorder="1" applyAlignment="1">
      <alignment horizontal="center" vertical="center"/>
    </xf>
    <xf numFmtId="172" fontId="6" fillId="0" borderId="15" xfId="0" applyNumberFormat="1" applyFont="1" applyBorder="1" applyAlignment="1">
      <alignment horizontal="center" vertical="center" wrapText="1"/>
    </xf>
    <xf numFmtId="164" fontId="6" fillId="0" borderId="15" xfId="0" applyFont="1" applyBorder="1" applyAlignment="1">
      <alignment horizontal="center" vertical="center" wrapText="1"/>
    </xf>
    <xf numFmtId="169" fontId="4" fillId="0" borderId="6" xfId="0" applyNumberFormat="1" applyFont="1" applyBorder="1" applyAlignment="1">
      <alignment/>
    </xf>
    <xf numFmtId="173" fontId="4" fillId="0" borderId="6" xfId="0" applyNumberFormat="1" applyFont="1" applyBorder="1" applyAlignment="1">
      <alignment horizontal="center" vertical="center" wrapText="1"/>
    </xf>
    <xf numFmtId="164" fontId="4" fillId="0" borderId="17" xfId="0" applyFont="1" applyBorder="1" applyAlignment="1">
      <alignment horizontal="center" vertical="center"/>
    </xf>
    <xf numFmtId="164" fontId="5" fillId="0" borderId="6" xfId="0" applyFont="1" applyBorder="1" applyAlignment="1">
      <alignment horizontal="center" vertical="center" wrapText="1"/>
    </xf>
    <xf numFmtId="164" fontId="3" fillId="0" borderId="7" xfId="0" applyFont="1" applyBorder="1" applyAlignment="1">
      <alignment/>
    </xf>
    <xf numFmtId="164" fontId="3" fillId="0" borderId="6" xfId="0" applyFont="1" applyBorder="1" applyAlignment="1">
      <alignment/>
    </xf>
    <xf numFmtId="164" fontId="4" fillId="0" borderId="15" xfId="0" applyFont="1" applyBorder="1" applyAlignment="1">
      <alignment horizontal="center" vertical="center"/>
    </xf>
    <xf numFmtId="164" fontId="7" fillId="0" borderId="0" xfId="0" applyFont="1" applyBorder="1" applyAlignment="1">
      <alignment horizontal="center" vertical="center"/>
    </xf>
    <xf numFmtId="164" fontId="8" fillId="0" borderId="0" xfId="0" applyFont="1" applyBorder="1" applyAlignment="1">
      <alignment horizontal="center" vertical="center" wrapText="1"/>
    </xf>
    <xf numFmtId="164" fontId="9" fillId="0" borderId="0" xfId="0" applyFont="1" applyBorder="1" applyAlignment="1">
      <alignment horizontal="center" vertical="top" wrapText="1"/>
    </xf>
    <xf numFmtId="164" fontId="2" fillId="0" borderId="0" xfId="0" applyFont="1" applyAlignment="1">
      <alignment horizontal="center" vertical="top" wrapText="1"/>
    </xf>
    <xf numFmtId="164" fontId="8" fillId="0" borderId="0" xfId="0" applyFont="1" applyAlignment="1">
      <alignment/>
    </xf>
    <xf numFmtId="164" fontId="10" fillId="0" borderId="17" xfId="0" applyFont="1" applyBorder="1" applyAlignment="1" applyProtection="1">
      <alignment/>
      <protection/>
    </xf>
    <xf numFmtId="164" fontId="8" fillId="0" borderId="17" xfId="0" applyFont="1" applyBorder="1" applyAlignment="1" applyProtection="1">
      <alignment horizontal="center"/>
      <protection/>
    </xf>
    <xf numFmtId="164" fontId="8" fillId="0" borderId="17" xfId="0" applyFont="1" applyBorder="1" applyAlignment="1" applyProtection="1">
      <alignment horizontal="center"/>
      <protection locked="0"/>
    </xf>
    <xf numFmtId="164" fontId="10" fillId="0" borderId="17" xfId="0" applyFont="1" applyBorder="1" applyAlignment="1" applyProtection="1">
      <alignment/>
      <protection/>
    </xf>
    <xf numFmtId="164" fontId="8" fillId="0" borderId="17" xfId="0" applyFont="1" applyBorder="1" applyAlignment="1" applyProtection="1">
      <alignment/>
      <protection/>
    </xf>
    <xf numFmtId="164" fontId="8" fillId="0" borderId="17" xfId="0" applyFont="1" applyBorder="1" applyAlignment="1" applyProtection="1">
      <alignment/>
      <protection locked="0"/>
    </xf>
    <xf numFmtId="164" fontId="8" fillId="0" borderId="0" xfId="0" applyFont="1" applyAlignment="1" applyProtection="1">
      <alignment/>
      <protection/>
    </xf>
    <xf numFmtId="164" fontId="0" fillId="0" borderId="0" xfId="0" applyAlignment="1" applyProtection="1">
      <alignment/>
      <protection/>
    </xf>
    <xf numFmtId="174" fontId="11" fillId="0" borderId="17" xfId="0" applyNumberFormat="1" applyFont="1" applyBorder="1" applyAlignment="1" applyProtection="1">
      <alignment horizontal="center"/>
      <protection/>
    </xf>
    <xf numFmtId="164" fontId="11" fillId="0" borderId="17" xfId="0" applyFont="1" applyBorder="1" applyAlignment="1" applyProtection="1">
      <alignment/>
      <protection/>
    </xf>
    <xf numFmtId="164" fontId="0" fillId="0" borderId="17" xfId="0" applyBorder="1" applyAlignment="1" applyProtection="1">
      <alignment/>
      <protection/>
    </xf>
    <xf numFmtId="164" fontId="0" fillId="0" borderId="17" xfId="0" applyBorder="1" applyAlignment="1" applyProtection="1">
      <alignment/>
      <protection locked="0"/>
    </xf>
    <xf numFmtId="164" fontId="3" fillId="0" borderId="0" xfId="0" applyFont="1" applyBorder="1" applyAlignment="1">
      <alignment horizontal="center" vertical="center" wrapText="1"/>
    </xf>
    <xf numFmtId="164" fontId="12" fillId="0" borderId="0" xfId="0" applyFont="1" applyBorder="1" applyAlignment="1">
      <alignment horizontal="center" wrapText="1"/>
    </xf>
    <xf numFmtId="175" fontId="8" fillId="0" borderId="17" xfId="0" applyNumberFormat="1" applyFont="1" applyBorder="1" applyAlignment="1">
      <alignment horizontal="center"/>
    </xf>
    <xf numFmtId="164" fontId="0" fillId="0" borderId="17" xfId="0" applyBorder="1" applyAlignment="1">
      <alignment/>
    </xf>
    <xf numFmtId="164" fontId="12" fillId="0" borderId="0" xfId="0" applyFont="1" applyBorder="1" applyAlignment="1">
      <alignment horizontal="center" vertical="top"/>
    </xf>
    <xf numFmtId="164" fontId="12" fillId="0" borderId="0" xfId="0" applyFont="1" applyBorder="1" applyAlignment="1" applyProtection="1">
      <alignment horizontal="center" wrapText="1"/>
      <protection/>
    </xf>
    <xf numFmtId="164" fontId="0" fillId="0" borderId="18" xfId="0" applyBorder="1" applyAlignment="1">
      <alignment/>
    </xf>
    <xf numFmtId="164" fontId="0" fillId="0" borderId="19" xfId="0" applyBorder="1" applyAlignment="1" applyProtection="1">
      <alignment/>
      <protection/>
    </xf>
    <xf numFmtId="164" fontId="0" fillId="0" borderId="20" xfId="0" applyBorder="1" applyAlignment="1" applyProtection="1">
      <alignment/>
      <protection/>
    </xf>
    <xf numFmtId="164" fontId="0" fillId="0" borderId="18" xfId="0" applyBorder="1" applyAlignment="1" applyProtection="1">
      <alignment/>
      <protection/>
    </xf>
    <xf numFmtId="164" fontId="3" fillId="0" borderId="0" xfId="0" applyFont="1" applyAlignment="1" applyProtection="1">
      <alignment/>
      <protection/>
    </xf>
    <xf numFmtId="164" fontId="0" fillId="0" borderId="21" xfId="0" applyBorder="1" applyAlignment="1">
      <alignment/>
    </xf>
    <xf numFmtId="164" fontId="0" fillId="0" borderId="0" xfId="0" applyBorder="1" applyAlignment="1" applyProtection="1">
      <alignment/>
      <protection/>
    </xf>
    <xf numFmtId="164" fontId="0" fillId="0" borderId="16" xfId="0" applyBorder="1" applyAlignment="1" applyProtection="1">
      <alignment/>
      <protection/>
    </xf>
    <xf numFmtId="164" fontId="0" fillId="0" borderId="21" xfId="0" applyBorder="1" applyAlignment="1" applyProtection="1">
      <alignment/>
      <protection/>
    </xf>
    <xf numFmtId="164" fontId="12" fillId="0" borderId="0" xfId="0" applyFont="1" applyAlignment="1" applyProtection="1">
      <alignment/>
      <protection/>
    </xf>
    <xf numFmtId="164" fontId="0" fillId="0" borderId="22" xfId="0" applyBorder="1" applyAlignment="1">
      <alignment/>
    </xf>
    <xf numFmtId="164" fontId="0" fillId="0" borderId="7" xfId="0" applyBorder="1" applyAlignment="1" applyProtection="1">
      <alignment/>
      <protection/>
    </xf>
    <xf numFmtId="164" fontId="0" fillId="0" borderId="22" xfId="0" applyBorder="1" applyAlignment="1" applyProtection="1">
      <alignment/>
      <protection/>
    </xf>
    <xf numFmtId="164" fontId="3" fillId="0" borderId="0" xfId="0" applyFont="1" applyAlignment="1">
      <alignment horizontal="center" vertical="center" wrapText="1"/>
    </xf>
    <xf numFmtId="169" fontId="4" fillId="0" borderId="23" xfId="0" applyNumberFormat="1" applyFont="1" applyBorder="1" applyAlignment="1">
      <alignment horizontal="center" wrapText="1"/>
    </xf>
    <xf numFmtId="171" fontId="4" fillId="0" borderId="23" xfId="0" applyNumberFormat="1" applyFont="1" applyBorder="1" applyAlignment="1">
      <alignment horizontal="center" vertical="center" wrapText="1"/>
    </xf>
    <xf numFmtId="164" fontId="4" fillId="0" borderId="20" xfId="0" applyFont="1" applyBorder="1" applyAlignment="1">
      <alignment horizontal="center" vertical="center"/>
    </xf>
    <xf numFmtId="164" fontId="5" fillId="0" borderId="23" xfId="0" applyFont="1" applyBorder="1" applyAlignment="1">
      <alignment horizontal="center" vertical="center" wrapText="1"/>
    </xf>
    <xf numFmtId="164" fontId="3" fillId="0" borderId="20" xfId="0" applyFont="1" applyBorder="1" applyAlignment="1">
      <alignment horizontal="center"/>
    </xf>
    <xf numFmtId="164" fontId="3" fillId="0" borderId="23" xfId="0" applyFont="1" applyBorder="1" applyAlignment="1">
      <alignment horizontal="center" wrapText="1"/>
    </xf>
    <xf numFmtId="164" fontId="0" fillId="0" borderId="0" xfId="0" applyFont="1" applyAlignment="1">
      <alignment/>
    </xf>
    <xf numFmtId="164" fontId="13" fillId="2" borderId="5" xfId="0" applyFont="1" applyFill="1" applyBorder="1" applyAlignment="1">
      <alignment/>
    </xf>
    <xf numFmtId="164" fontId="13" fillId="2" borderId="5" xfId="0" applyFont="1" applyFill="1" applyBorder="1" applyAlignment="1">
      <alignment wrapText="1"/>
    </xf>
    <xf numFmtId="174" fontId="13" fillId="2" borderId="5" xfId="0" applyNumberFormat="1" applyFont="1" applyFill="1" applyBorder="1" applyAlignment="1">
      <alignment/>
    </xf>
    <xf numFmtId="174" fontId="13" fillId="2" borderId="5" xfId="0" applyNumberFormat="1" applyFont="1" applyFill="1" applyBorder="1" applyAlignment="1">
      <alignment horizontal="center"/>
    </xf>
    <xf numFmtId="164" fontId="13" fillId="2" borderId="5" xfId="0" applyFont="1" applyFill="1" applyBorder="1" applyAlignment="1">
      <alignment horizontal="center"/>
    </xf>
    <xf numFmtId="164" fontId="13" fillId="2" borderId="5" xfId="0" applyFont="1" applyFill="1" applyBorder="1" applyAlignment="1">
      <alignment horizontal="center" wrapText="1"/>
    </xf>
    <xf numFmtId="164" fontId="0" fillId="3" borderId="3" xfId="0" applyFont="1" applyFill="1" applyBorder="1" applyAlignment="1">
      <alignment/>
    </xf>
    <xf numFmtId="174" fontId="0" fillId="3" borderId="3" xfId="0" applyNumberFormat="1" applyFont="1" applyFill="1" applyBorder="1" applyAlignment="1" applyProtection="1">
      <alignment/>
      <protection locked="0"/>
    </xf>
    <xf numFmtId="164" fontId="0" fillId="3" borderId="3" xfId="0" applyFont="1" applyFill="1" applyBorder="1" applyAlignment="1">
      <alignment horizontal="center"/>
    </xf>
    <xf numFmtId="164" fontId="0" fillId="3" borderId="1" xfId="0" applyFont="1" applyFill="1" applyBorder="1" applyAlignment="1">
      <alignment horizontal="center"/>
    </xf>
    <xf numFmtId="164" fontId="0" fillId="0" borderId="0" xfId="0" applyFont="1" applyAlignment="1" applyProtection="1">
      <alignment/>
      <protection locked="0"/>
    </xf>
    <xf numFmtId="164" fontId="0" fillId="0" borderId="3" xfId="0" applyFont="1" applyBorder="1" applyAlignment="1" applyProtection="1">
      <alignment/>
      <protection locked="0"/>
    </xf>
    <xf numFmtId="174" fontId="0" fillId="0" borderId="3" xfId="0" applyNumberFormat="1" applyFont="1" applyBorder="1" applyAlignment="1" applyProtection="1">
      <alignment/>
      <protection locked="0"/>
    </xf>
    <xf numFmtId="164" fontId="0" fillId="0" borderId="3" xfId="0" applyFont="1" applyBorder="1" applyAlignment="1" applyProtection="1">
      <alignment horizontal="center"/>
      <protection locked="0"/>
    </xf>
    <xf numFmtId="164" fontId="0" fillId="0" borderId="3" xfId="0" applyBorder="1" applyAlignment="1" applyProtection="1">
      <alignment horizontal="center"/>
      <protection locked="0"/>
    </xf>
    <xf numFmtId="164" fontId="0" fillId="0" borderId="3" xfId="0" applyFont="1" applyBorder="1" applyAlignment="1" applyProtection="1">
      <alignment horizontal="left"/>
      <protection locked="0"/>
    </xf>
    <xf numFmtId="164" fontId="0" fillId="0" borderId="3" xfId="0" applyBorder="1" applyAlignment="1">
      <alignment/>
    </xf>
    <xf numFmtId="174" fontId="0" fillId="0" borderId="3" xfId="0" applyNumberFormat="1" applyBorder="1" applyAlignment="1">
      <alignment/>
    </xf>
    <xf numFmtId="164" fontId="0" fillId="0" borderId="3" xfId="0" applyBorder="1" applyAlignment="1" applyProtection="1">
      <alignment/>
      <protection locked="0"/>
    </xf>
    <xf numFmtId="174" fontId="0" fillId="0" borderId="3" xfId="0" applyNumberFormat="1" applyFont="1" applyFill="1" applyBorder="1" applyAlignment="1" applyProtection="1">
      <alignment/>
      <protection locked="0"/>
    </xf>
    <xf numFmtId="174" fontId="0" fillId="0" borderId="0" xfId="0" applyNumberFormat="1" applyAlignment="1">
      <alignment/>
    </xf>
    <xf numFmtId="164" fontId="0" fillId="0" borderId="0" xfId="0" applyAlignment="1">
      <alignment horizontal="center"/>
    </xf>
    <xf numFmtId="169" fontId="0" fillId="0" borderId="0" xfId="0" applyNumberFormat="1" applyAlignment="1">
      <alignment horizontal="right"/>
    </xf>
    <xf numFmtId="166" fontId="0" fillId="0" borderId="0" xfId="0" applyNumberFormat="1" applyAlignment="1">
      <alignment horizontal="center"/>
    </xf>
    <xf numFmtId="166" fontId="0" fillId="0" borderId="0" xfId="0" applyNumberFormat="1" applyAlignment="1">
      <alignment horizontal="left"/>
    </xf>
    <xf numFmtId="169" fontId="0" fillId="0" borderId="0" xfId="0" applyNumberFormat="1" applyAlignment="1">
      <alignment/>
    </xf>
    <xf numFmtId="169" fontId="0" fillId="3" borderId="8" xfId="0" applyNumberFormat="1" applyFont="1" applyFill="1" applyBorder="1" applyAlignment="1">
      <alignment horizontal="right" textRotation="90" wrapText="1"/>
    </xf>
    <xf numFmtId="166" fontId="0" fillId="3" borderId="24" xfId="0" applyNumberFormat="1" applyFont="1" applyFill="1" applyBorder="1" applyAlignment="1">
      <alignment horizontal="center" textRotation="90"/>
    </xf>
    <xf numFmtId="166" fontId="0" fillId="3" borderId="25" xfId="0" applyNumberFormat="1" applyFont="1" applyFill="1" applyBorder="1" applyAlignment="1">
      <alignment horizontal="center" wrapText="1"/>
    </xf>
    <xf numFmtId="169" fontId="0" fillId="3" borderId="26" xfId="0" applyNumberFormat="1" applyFont="1" applyFill="1" applyBorder="1" applyAlignment="1">
      <alignment horizontal="center" textRotation="90" wrapText="1"/>
    </xf>
    <xf numFmtId="169" fontId="0" fillId="0" borderId="27" xfId="0" applyNumberFormat="1" applyBorder="1" applyAlignment="1">
      <alignment horizontal="right"/>
    </xf>
    <xf numFmtId="166" fontId="0" fillId="0" borderId="28" xfId="0" applyNumberFormat="1" applyBorder="1" applyAlignment="1">
      <alignment horizontal="center"/>
    </xf>
    <xf numFmtId="166" fontId="13" fillId="0" borderId="29" xfId="0" applyNumberFormat="1" applyFont="1" applyBorder="1" applyAlignment="1">
      <alignment horizontal="center"/>
    </xf>
    <xf numFmtId="169" fontId="0" fillId="0" borderId="30" xfId="0" applyNumberFormat="1" applyBorder="1" applyAlignment="1">
      <alignment horizontal="right"/>
    </xf>
    <xf numFmtId="169" fontId="0" fillId="0" borderId="27" xfId="0" applyNumberFormat="1" applyBorder="1" applyAlignment="1" applyProtection="1">
      <alignment horizontal="right"/>
      <protection locked="0"/>
    </xf>
    <xf numFmtId="166" fontId="0" fillId="0" borderId="31" xfId="0" applyNumberFormat="1" applyFont="1" applyBorder="1" applyAlignment="1" applyProtection="1">
      <alignment horizontal="center"/>
      <protection locked="0"/>
    </xf>
    <xf numFmtId="164" fontId="0" fillId="0" borderId="28" xfId="0" applyFont="1" applyBorder="1" applyAlignment="1" applyProtection="1">
      <alignment horizontal="left"/>
      <protection locked="0"/>
    </xf>
    <xf numFmtId="169" fontId="0" fillId="0" borderId="32" xfId="0" applyNumberFormat="1" applyBorder="1" applyAlignment="1" applyProtection="1">
      <alignment horizontal="right"/>
      <protection locked="0"/>
    </xf>
    <xf numFmtId="166" fontId="0" fillId="0" borderId="28" xfId="0" applyNumberFormat="1" applyBorder="1" applyAlignment="1" applyProtection="1">
      <alignment horizontal="center"/>
      <protection locked="0"/>
    </xf>
    <xf numFmtId="166" fontId="14" fillId="0" borderId="28" xfId="0" applyNumberFormat="1" applyFont="1" applyBorder="1" applyAlignment="1">
      <alignment horizontal="left"/>
    </xf>
    <xf numFmtId="169" fontId="0" fillId="0" borderId="30" xfId="0" applyNumberFormat="1" applyFont="1" applyBorder="1" applyAlignment="1" applyProtection="1">
      <alignment horizontal="right"/>
      <protection locked="0"/>
    </xf>
    <xf numFmtId="166" fontId="13" fillId="0" borderId="28" xfId="0" applyNumberFormat="1" applyFont="1" applyBorder="1" applyAlignment="1">
      <alignment horizontal="center"/>
    </xf>
    <xf numFmtId="166" fontId="0" fillId="0" borderId="29" xfId="0" applyNumberFormat="1" applyBorder="1" applyAlignment="1" applyProtection="1">
      <alignment horizontal="center"/>
      <protection locked="0"/>
    </xf>
    <xf numFmtId="166" fontId="0" fillId="0" borderId="28" xfId="0" applyNumberFormat="1" applyBorder="1" applyAlignment="1">
      <alignment horizontal="left"/>
    </xf>
    <xf numFmtId="169" fontId="0" fillId="0" borderId="30" xfId="0" applyNumberFormat="1" applyFont="1" applyBorder="1" applyAlignment="1">
      <alignment horizontal="right"/>
    </xf>
    <xf numFmtId="166" fontId="0" fillId="0" borderId="29" xfId="0" applyNumberFormat="1" applyFont="1" applyBorder="1" applyAlignment="1">
      <alignment horizontal="center"/>
    </xf>
    <xf numFmtId="166" fontId="0" fillId="0" borderId="29" xfId="0" applyNumberFormat="1" applyFont="1" applyBorder="1" applyAlignment="1">
      <alignment horizontal="left"/>
    </xf>
    <xf numFmtId="166" fontId="0" fillId="0" borderId="29" xfId="0" applyNumberFormat="1" applyFont="1" applyFill="1" applyBorder="1" applyAlignment="1">
      <alignment horizontal="center"/>
    </xf>
    <xf numFmtId="166" fontId="0" fillId="0" borderId="28" xfId="0" applyNumberFormat="1" applyFont="1" applyFill="1" applyBorder="1" applyAlignment="1">
      <alignment horizontal="left"/>
    </xf>
    <xf numFmtId="169" fontId="0" fillId="0" borderId="30" xfId="0" applyNumberFormat="1" applyFont="1" applyFill="1" applyBorder="1" applyAlignment="1">
      <alignment horizontal="right"/>
    </xf>
    <xf numFmtId="166" fontId="0" fillId="0" borderId="28" xfId="0" applyNumberFormat="1" applyFont="1" applyBorder="1" applyAlignment="1" applyProtection="1">
      <alignment horizontal="left"/>
      <protection locked="0"/>
    </xf>
    <xf numFmtId="166" fontId="14" fillId="0" borderId="28" xfId="0" applyNumberFormat="1" applyFont="1" applyBorder="1" applyAlignment="1">
      <alignment horizontal="center"/>
    </xf>
    <xf numFmtId="169" fontId="13" fillId="0" borderId="27" xfId="0" applyNumberFormat="1" applyFont="1" applyBorder="1" applyAlignment="1">
      <alignment horizontal="right"/>
    </xf>
    <xf numFmtId="169" fontId="0" fillId="0" borderId="30" xfId="0" applyNumberFormat="1" applyBorder="1" applyAlignment="1" applyProtection="1">
      <alignment horizontal="right"/>
      <protection locked="0"/>
    </xf>
    <xf numFmtId="169" fontId="0" fillId="0" borderId="28" xfId="0" applyNumberFormat="1" applyBorder="1" applyAlignment="1">
      <alignment/>
    </xf>
    <xf numFmtId="169" fontId="13" fillId="0" borderId="33" xfId="0" applyNumberFormat="1" applyFont="1" applyBorder="1" applyAlignment="1" applyProtection="1">
      <alignment horizontal="right"/>
      <protection locked="0"/>
    </xf>
    <xf numFmtId="166" fontId="0" fillId="0" borderId="34" xfId="0" applyNumberFormat="1" applyBorder="1" applyAlignment="1" applyProtection="1">
      <alignment horizontal="center"/>
      <protection locked="0"/>
    </xf>
    <xf numFmtId="166" fontId="14" fillId="0" borderId="34" xfId="0" applyNumberFormat="1" applyFont="1" applyBorder="1" applyAlignment="1">
      <alignment horizontal="left"/>
    </xf>
    <xf numFmtId="169" fontId="13" fillId="0" borderId="7" xfId="0" applyNumberFormat="1" applyFont="1" applyBorder="1" applyAlignment="1" applyProtection="1">
      <alignment horizontal="right"/>
      <protection locked="0"/>
    </xf>
    <xf numFmtId="169" fontId="0" fillId="0" borderId="35" xfId="0" applyNumberFormat="1" applyBorder="1" applyAlignment="1">
      <alignment horizontal="right"/>
    </xf>
    <xf numFmtId="166" fontId="0" fillId="0" borderId="34" xfId="0" applyNumberFormat="1" applyBorder="1" applyAlignment="1">
      <alignment horizontal="center"/>
    </xf>
    <xf numFmtId="166" fontId="14" fillId="0" borderId="34" xfId="0" applyNumberFormat="1" applyFont="1" applyBorder="1" applyAlignment="1">
      <alignment horizontal="center"/>
    </xf>
    <xf numFmtId="169" fontId="0" fillId="0" borderId="7" xfId="0" applyNumberFormat="1" applyBorder="1" applyAlignment="1">
      <alignment horizontal="right"/>
    </xf>
    <xf numFmtId="169" fontId="0" fillId="0" borderId="17" xfId="0" applyNumberFormat="1" applyBorder="1" applyAlignment="1">
      <alignment horizontal="right"/>
    </xf>
    <xf numFmtId="166" fontId="0" fillId="0" borderId="17" xfId="0" applyNumberFormat="1" applyBorder="1" applyAlignment="1">
      <alignment horizontal="center"/>
    </xf>
    <xf numFmtId="166" fontId="0" fillId="0" borderId="17" xfId="0" applyNumberFormat="1" applyBorder="1" applyAlignment="1">
      <alignment horizontal="left"/>
    </xf>
    <xf numFmtId="169" fontId="0" fillId="0" borderId="29" xfId="0" applyNumberFormat="1" applyFont="1" applyBorder="1" applyAlignment="1">
      <alignment horizontal="center"/>
    </xf>
    <xf numFmtId="164" fontId="0" fillId="0" borderId="28" xfId="0" applyFont="1" applyBorder="1" applyAlignment="1">
      <alignment/>
    </xf>
    <xf numFmtId="164" fontId="0" fillId="0" borderId="36" xfId="0" applyBorder="1" applyAlignment="1">
      <alignment/>
    </xf>
    <xf numFmtId="166" fontId="0" fillId="0" borderId="29" xfId="0" applyNumberFormat="1" applyFont="1" applyBorder="1" applyAlignment="1" applyProtection="1">
      <alignment horizontal="left"/>
      <protection locked="0"/>
    </xf>
    <xf numFmtId="169" fontId="13" fillId="0" borderId="27" xfId="0" applyNumberFormat="1" applyFont="1" applyBorder="1" applyAlignment="1">
      <alignment/>
    </xf>
    <xf numFmtId="164" fontId="13" fillId="0" borderId="29" xfId="0" applyFont="1" applyBorder="1" applyAlignment="1" applyProtection="1">
      <alignment horizontal="center"/>
      <protection locked="0"/>
    </xf>
    <xf numFmtId="169" fontId="13" fillId="0" borderId="30" xfId="0" applyNumberFormat="1" applyFont="1" applyBorder="1" applyAlignment="1">
      <alignment horizontal="right"/>
    </xf>
    <xf numFmtId="166" fontId="14" fillId="0" borderId="29" xfId="0" applyNumberFormat="1" applyFont="1" applyBorder="1" applyAlignment="1" applyProtection="1">
      <alignment horizontal="left"/>
      <protection locked="0"/>
    </xf>
    <xf numFmtId="164" fontId="0" fillId="0" borderId="29" xfId="0" applyFont="1" applyBorder="1" applyAlignment="1" applyProtection="1">
      <alignment horizontal="left"/>
      <protection locked="0"/>
    </xf>
    <xf numFmtId="164" fontId="0" fillId="0" borderId="29" xfId="0" applyFont="1" applyBorder="1" applyAlignment="1" applyProtection="1">
      <alignment horizontal="center"/>
      <protection locked="0"/>
    </xf>
    <xf numFmtId="169" fontId="0" fillId="0" borderId="35" xfId="0" applyNumberFormat="1" applyBorder="1" applyAlignment="1" applyProtection="1">
      <alignment horizontal="right"/>
      <protection locked="0"/>
    </xf>
    <xf numFmtId="169" fontId="0" fillId="0" borderId="34" xfId="0" applyNumberFormat="1" applyBorder="1" applyAlignment="1">
      <alignment/>
    </xf>
    <xf numFmtId="169" fontId="0" fillId="0" borderId="7" xfId="0" applyNumberFormat="1" applyBorder="1" applyAlignment="1" applyProtection="1">
      <alignment horizontal="right"/>
      <protection locked="0"/>
    </xf>
    <xf numFmtId="166" fontId="0" fillId="0" borderId="34" xfId="0" applyNumberFormat="1" applyFont="1" applyBorder="1" applyAlignment="1">
      <alignment horizontal="left"/>
    </xf>
    <xf numFmtId="169" fontId="13" fillId="0" borderId="27" xfId="0" applyNumberFormat="1" applyFont="1" applyBorder="1" applyAlignment="1" applyProtection="1">
      <alignment horizontal="right"/>
      <protection locked="0"/>
    </xf>
    <xf numFmtId="164" fontId="13" fillId="0" borderId="29" xfId="0" applyFont="1" applyBorder="1" applyAlignment="1">
      <alignment horizontal="center"/>
    </xf>
    <xf numFmtId="164" fontId="0" fillId="0" borderId="29" xfId="0" applyBorder="1" applyAlignment="1" applyProtection="1">
      <alignment/>
      <protection locked="0"/>
    </xf>
    <xf numFmtId="164" fontId="11" fillId="0" borderId="29" xfId="0" applyFont="1" applyBorder="1" applyAlignment="1" applyProtection="1">
      <alignment horizontal="center" wrapText="1"/>
      <protection locked="0"/>
    </xf>
    <xf numFmtId="164" fontId="0" fillId="0" borderId="28" xfId="0" applyFont="1" applyBorder="1" applyAlignment="1" applyProtection="1">
      <alignment horizontal="center"/>
      <protection locked="0"/>
    </xf>
    <xf numFmtId="169" fontId="0" fillId="0" borderId="27" xfId="0" applyNumberFormat="1" applyBorder="1" applyAlignment="1">
      <alignment/>
    </xf>
    <xf numFmtId="164" fontId="0" fillId="0" borderId="29" xfId="0" applyBorder="1" applyAlignment="1">
      <alignment horizontal="center"/>
    </xf>
    <xf numFmtId="166" fontId="13" fillId="0" borderId="34" xfId="0" applyNumberFormat="1" applyFont="1" applyBorder="1" applyAlignment="1">
      <alignment horizontal="center"/>
    </xf>
    <xf numFmtId="164" fontId="0" fillId="0" borderId="34" xfId="0" applyFont="1" applyBorder="1" applyAlignment="1" applyProtection="1">
      <alignment horizontal="left"/>
      <protection locked="0"/>
    </xf>
    <xf numFmtId="166" fontId="0" fillId="0" borderId="28" xfId="0" applyNumberFormat="1" applyFont="1" applyBorder="1" applyAlignment="1">
      <alignment/>
    </xf>
    <xf numFmtId="169" fontId="0" fillId="0" borderId="35" xfId="0" applyNumberFormat="1" applyBorder="1" applyAlignment="1">
      <alignment/>
    </xf>
    <xf numFmtId="164" fontId="0" fillId="0" borderId="34" xfId="0" applyFont="1" applyBorder="1" applyAlignment="1">
      <alignment horizontal="center"/>
    </xf>
    <xf numFmtId="164" fontId="0" fillId="0" borderId="29" xfId="0" applyFont="1" applyBorder="1" applyAlignment="1">
      <alignment/>
    </xf>
    <xf numFmtId="166" fontId="13" fillId="0" borderId="28" xfId="0" applyNumberFormat="1" applyFont="1" applyBorder="1" applyAlignment="1" applyProtection="1">
      <alignment horizontal="center"/>
      <protection locked="0"/>
    </xf>
    <xf numFmtId="169" fontId="13" fillId="0" borderId="30" xfId="0" applyNumberFormat="1" applyFont="1" applyBorder="1" applyAlignment="1" applyProtection="1">
      <alignment horizontal="center"/>
      <protection locked="0"/>
    </xf>
    <xf numFmtId="169" fontId="13" fillId="0" borderId="27" xfId="0" applyNumberFormat="1" applyFont="1" applyBorder="1" applyAlignment="1" applyProtection="1">
      <alignment horizontal="center"/>
      <protection locked="0"/>
    </xf>
    <xf numFmtId="164" fontId="13" fillId="0" borderId="28" xfId="0" applyFont="1" applyBorder="1" applyAlignment="1" applyProtection="1">
      <alignment horizontal="center"/>
      <protection locked="0"/>
    </xf>
    <xf numFmtId="166" fontId="15" fillId="0" borderId="37" xfId="0" applyNumberFormat="1" applyFont="1" applyBorder="1" applyAlignment="1" applyProtection="1">
      <alignment horizontal="center" vertical="center"/>
      <protection locked="0"/>
    </xf>
    <xf numFmtId="169" fontId="0" fillId="0" borderId="29" xfId="0" applyNumberFormat="1" applyFont="1" applyBorder="1" applyAlignment="1">
      <alignment/>
    </xf>
    <xf numFmtId="169" fontId="13" fillId="0" borderId="30" xfId="0" applyNumberFormat="1" applyFont="1" applyBorder="1" applyAlignment="1" applyProtection="1">
      <alignment horizontal="right"/>
      <protection locked="0"/>
    </xf>
    <xf numFmtId="166" fontId="13" fillId="0" borderId="29" xfId="0" applyNumberFormat="1" applyFont="1" applyBorder="1" applyAlignment="1" applyProtection="1">
      <alignment horizontal="center"/>
      <protection locked="0"/>
    </xf>
    <xf numFmtId="169" fontId="0" fillId="0" borderId="33" xfId="0" applyNumberFormat="1" applyBorder="1" applyAlignment="1">
      <alignment horizontal="right"/>
    </xf>
    <xf numFmtId="166" fontId="13" fillId="0" borderId="31" xfId="0" applyNumberFormat="1" applyFont="1" applyBorder="1" applyAlignment="1">
      <alignment horizontal="center"/>
    </xf>
    <xf numFmtId="166" fontId="13" fillId="0" borderId="38" xfId="0" applyNumberFormat="1" applyFont="1" applyBorder="1" applyAlignment="1">
      <alignment horizontal="center"/>
    </xf>
    <xf numFmtId="169" fontId="13" fillId="0" borderId="39" xfId="0" applyNumberFormat="1" applyFont="1" applyBorder="1" applyAlignment="1">
      <alignment horizontal="right"/>
    </xf>
    <xf numFmtId="166" fontId="13" fillId="0" borderId="29" xfId="0" applyNumberFormat="1" applyFont="1" applyBorder="1" applyAlignment="1">
      <alignment horizontal="left"/>
    </xf>
    <xf numFmtId="166" fontId="0" fillId="0" borderId="36" xfId="0" applyNumberFormat="1" applyFont="1" applyBorder="1" applyAlignment="1">
      <alignment horizontal="left"/>
    </xf>
    <xf numFmtId="164" fontId="0" fillId="0" borderId="28" xfId="0" applyBorder="1" applyAlignment="1" applyProtection="1">
      <alignment/>
      <protection locked="0"/>
    </xf>
    <xf numFmtId="164" fontId="0" fillId="0" borderId="34" xfId="0" applyFont="1" applyBorder="1" applyAlignment="1" applyProtection="1">
      <alignment horizontal="center"/>
      <protection locked="0"/>
    </xf>
    <xf numFmtId="166" fontId="0" fillId="0" borderId="29" xfId="0" applyNumberFormat="1" applyFont="1" applyBorder="1" applyAlignment="1">
      <alignment/>
    </xf>
    <xf numFmtId="166" fontId="16" fillId="0" borderId="29" xfId="0" applyNumberFormat="1" applyFont="1" applyBorder="1" applyAlignment="1">
      <alignment horizontal="center"/>
    </xf>
    <xf numFmtId="164" fontId="12" fillId="0" borderId="0" xfId="0" applyFont="1" applyBorder="1" applyAlignment="1">
      <alignment horizontal="center"/>
    </xf>
    <xf numFmtId="164" fontId="17" fillId="3" borderId="40" xfId="0" applyFont="1" applyFill="1" applyBorder="1" applyAlignment="1">
      <alignment horizontal="center"/>
    </xf>
    <xf numFmtId="164" fontId="17" fillId="3" borderId="24" xfId="0" applyFont="1" applyFill="1" applyBorder="1" applyAlignment="1">
      <alignment/>
    </xf>
    <xf numFmtId="164" fontId="17" fillId="3" borderId="10" xfId="0" applyFont="1" applyFill="1" applyBorder="1" applyAlignment="1">
      <alignment horizontal="center"/>
    </xf>
    <xf numFmtId="164" fontId="0" fillId="0" borderId="16" xfId="0" applyFont="1" applyBorder="1" applyAlignment="1" applyProtection="1">
      <alignment horizontal="center"/>
      <protection locked="0"/>
    </xf>
    <xf numFmtId="164" fontId="0" fillId="0" borderId="7" xfId="0" applyFont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571500</xdr:colOff>
      <xdr:row>1</xdr:row>
      <xdr:rowOff>9525</xdr:rowOff>
    </xdr:from>
    <xdr:to>
      <xdr:col>17</xdr:col>
      <xdr:colOff>9525</xdr:colOff>
      <xdr:row>6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53650" y="257175"/>
          <a:ext cx="4743450" cy="22764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8</xdr:col>
      <xdr:colOff>571500</xdr:colOff>
      <xdr:row>33</xdr:row>
      <xdr:rowOff>0</xdr:rowOff>
    </xdr:from>
    <xdr:to>
      <xdr:col>17</xdr:col>
      <xdr:colOff>9525</xdr:colOff>
      <xdr:row>37</xdr:row>
      <xdr:rowOff>428625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53650" y="14506575"/>
          <a:ext cx="4743450" cy="22574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workbookViewId="0" topLeftCell="A1">
      <selection activeCell="A13" sqref="A13"/>
    </sheetView>
  </sheetViews>
  <sheetFormatPr defaultColWidth="9.140625" defaultRowHeight="12.75"/>
  <cols>
    <col min="1" max="1" width="16.57421875" style="1" customWidth="1"/>
    <col min="2" max="2" width="9.7109375" style="0" customWidth="1"/>
    <col min="3" max="3" width="0" style="2" hidden="1" customWidth="1"/>
    <col min="4" max="4" width="8.28125" style="0" customWidth="1"/>
    <col min="5" max="5" width="28.7109375" style="0" customWidth="1"/>
    <col min="6" max="8" width="25.7109375" style="0" customWidth="1"/>
    <col min="9" max="12" width="0" style="0" hidden="1" customWidth="1"/>
    <col min="13" max="16384" width="8.8515625" style="0" customWidth="1"/>
  </cols>
  <sheetData>
    <row r="1" spans="1:3" ht="12.75">
      <c r="A1" s="3" t="s">
        <v>0</v>
      </c>
      <c r="B1" s="4">
        <v>600</v>
      </c>
      <c r="C1" s="5">
        <f>IF(Brevet_Length&gt;=1200,Brevet_Length,IF(Brevet_Length&gt;=1000,1000,IF(Brevet_Length&gt;=600,600,IF(Brevet_Length&gt;=400,400,IF(Brevet_Length&gt;=300,300,IF(Brevet_Length&gt;=200,200,100))))))</f>
        <v>600</v>
      </c>
    </row>
    <row r="2" spans="1:2" ht="12.75">
      <c r="A2" s="6" t="s">
        <v>1</v>
      </c>
      <c r="B2" s="7">
        <f>IF(brevet=1200,90,IF(brevet=1000,75,IF(brevet=600,40,IF(brevet=400,27,IF(brevet=300,20,IF(brevet=200,13.5,IF(brevet=100,7,0)))))))</f>
        <v>40</v>
      </c>
    </row>
    <row r="3" spans="1:8" ht="12.75">
      <c r="A3" s="6" t="s">
        <v>2</v>
      </c>
      <c r="B3" s="8" t="s">
        <v>3</v>
      </c>
      <c r="C3" s="8"/>
      <c r="D3" s="8"/>
      <c r="E3" s="8"/>
      <c r="F3" s="8"/>
      <c r="G3" s="8"/>
      <c r="H3" s="8"/>
    </row>
    <row r="4" spans="1:8" ht="12.75">
      <c r="A4" s="6" t="s">
        <v>4</v>
      </c>
      <c r="B4" s="9" t="s">
        <v>5</v>
      </c>
      <c r="C4" s="10"/>
      <c r="D4" s="11"/>
      <c r="E4" s="11"/>
      <c r="F4" s="11"/>
      <c r="G4" s="11"/>
      <c r="H4" s="11"/>
    </row>
    <row r="5" spans="1:2" ht="12.75">
      <c r="A5" s="6" t="s">
        <v>6</v>
      </c>
      <c r="B5" s="12"/>
    </row>
    <row r="6" spans="1:2" ht="12.75">
      <c r="A6" s="13" t="s">
        <v>7</v>
      </c>
      <c r="B6" s="14">
        <v>0.25</v>
      </c>
    </row>
    <row r="7" spans="4:8" ht="12.75">
      <c r="D7" s="15" t="s">
        <v>8</v>
      </c>
      <c r="E7" s="15"/>
      <c r="F7" s="15"/>
      <c r="G7" s="15"/>
      <c r="H7" s="15"/>
    </row>
    <row r="8" spans="4:8" ht="12.75" customHeight="1" hidden="1">
      <c r="D8" s="16"/>
      <c r="E8" s="16"/>
      <c r="F8" s="16"/>
      <c r="G8" s="16"/>
      <c r="H8" s="16"/>
    </row>
    <row r="9" spans="4:12" ht="12.75">
      <c r="D9" s="17" t="s">
        <v>9</v>
      </c>
      <c r="E9" s="18" t="s">
        <v>10</v>
      </c>
      <c r="F9" s="18" t="s">
        <v>11</v>
      </c>
      <c r="G9" s="18" t="s">
        <v>12</v>
      </c>
      <c r="H9" s="19" t="s">
        <v>13</v>
      </c>
      <c r="I9" t="s">
        <v>14</v>
      </c>
      <c r="J9" t="s">
        <v>15</v>
      </c>
      <c r="K9" t="s">
        <v>16</v>
      </c>
      <c r="L9" t="s">
        <v>17</v>
      </c>
    </row>
    <row r="10" spans="3:12" ht="12.75">
      <c r="C10" s="2" t="s">
        <v>18</v>
      </c>
      <c r="D10" s="20">
        <v>0</v>
      </c>
      <c r="E10" s="21" t="s">
        <v>19</v>
      </c>
      <c r="F10" s="22" t="s">
        <v>20</v>
      </c>
      <c r="G10" s="22" t="s">
        <v>21</v>
      </c>
      <c r="H10" s="23" t="s">
        <v>22</v>
      </c>
      <c r="I10" s="24">
        <f>Start_date+Start_time</f>
        <v>0.25</v>
      </c>
      <c r="J10" s="24">
        <f>I10+"1:00"</f>
        <v>0.2916666666666667</v>
      </c>
      <c r="K10" s="25">
        <f>IF(ISBLANK(Distance),"",Open Control_1)</f>
        <v>0.25</v>
      </c>
      <c r="L10" s="25">
        <f>IF(ISBLANK(Distance),"",Close Control_1)</f>
        <v>0.2916666666666667</v>
      </c>
    </row>
    <row r="11" spans="3:12" ht="12.75">
      <c r="C11" s="2" t="s">
        <v>23</v>
      </c>
      <c r="D11" s="20">
        <f>'VI0607A 050603'!A18</f>
        <v>99.80000000000001</v>
      </c>
      <c r="E11" s="21" t="s">
        <v>24</v>
      </c>
      <c r="F11" s="22" t="s">
        <v>25</v>
      </c>
      <c r="G11" s="22" t="s">
        <v>26</v>
      </c>
      <c r="H11" s="23"/>
      <c r="I11" s="5">
        <f>IF(ISBLANK(Distance),"",IF(Distance&gt;1000,(Distance-1000)/26+33.0847,(IF(Distance&gt;600,(Distance-600)/28+18.799,(IF(Distance&gt;400,(Distance-400)/30+12.1324,(IF(Distance&gt;200,(Distance-200)/32+5.8824,Distance/34))))))))</f>
        <v>2.935294117647059</v>
      </c>
      <c r="J11" s="5">
        <f>IF(ISBLANK(Distance),"",IF(Distance&gt;=brevet,IF(brevet&gt;1200,(brevet-1200)*75/1000+90,Max_time),IF(Distance&gt;1200,(Distance-1200)*75/1000+90,IF(Distance&gt;1000,(Distance-1000)/(1000/75)+75,IF(Distance&gt;600,(Distance-600)/(400/35)+40,Distance/15)))))</f>
        <v>6.653333333333334</v>
      </c>
      <c r="K11" s="25">
        <f>IF(ISBLANK(Distance),"",Open_time Control_1+(INT(Open)&amp;":"&amp;IF(ROUND(((Open-INT(Open))*60),0)&lt;10,0,"")&amp;ROUND(((Open-INT(Open))*60),0)))</f>
        <v>0.37222222222222223</v>
      </c>
      <c r="L11" s="25">
        <f>IF(ISBLANK(Distance),"",Open_time Control_1+(INT(Close)&amp;":"&amp;IF(ROUND(((Close-INT(Close))*60),0)&lt;10,0,"")&amp;ROUND(((Close-INT(Close))*60),0)))</f>
        <v>0.5270833333333333</v>
      </c>
    </row>
    <row r="12" spans="3:12" ht="12.75">
      <c r="C12" s="2" t="s">
        <v>27</v>
      </c>
      <c r="D12" s="20">
        <f>'VI0607A 050603'!F19</f>
        <v>204.9</v>
      </c>
      <c r="E12" s="21" t="s">
        <v>19</v>
      </c>
      <c r="F12" s="22" t="s">
        <v>28</v>
      </c>
      <c r="G12" s="22" t="s">
        <v>29</v>
      </c>
      <c r="H12" s="23" t="s">
        <v>30</v>
      </c>
      <c r="I12" s="5">
        <f>IF(ISBLANK(Distance),"",IF(Distance&gt;1000,(Distance-1000)/26+33.0847,(IF(Distance&gt;600,(Distance-600)/28+18.799,(IF(Distance&gt;400,(Distance-400)/30+12.1324,(IF(Distance&gt;200,(Distance-200)/32+5.8824,Distance/34))))))))</f>
        <v>6.035525</v>
      </c>
      <c r="J12" s="5">
        <f aca="true" t="shared" si="0" ref="J12:J27">IF(ISBLANK(Distance),"",IF(Distance&gt;=brevet,IF(brevet&gt;1200,(brevet-1200)*75/1000+90,Max_time),IF(Distance&gt;1200,(Distance-1200)*75/1000+90,IF(Distance&gt;1000,(Distance-1000)/(1000/75)+75,IF(Distance&gt;600,(Distance-600)/(400/35)+40,Distance/15)))))</f>
        <v>13.66</v>
      </c>
      <c r="K12" s="25">
        <f>IF(ISBLANK(Distance),"",Open_time Control_1+(INT(Open)&amp;":"&amp;IF(ROUND(((Open-INT(Open))*60),0)&lt;10,0,"")&amp;ROUND(((Open-INT(Open))*60),0)))</f>
        <v>0.5013888888888889</v>
      </c>
      <c r="L12" s="25">
        <f>IF(ISBLANK(Distance),"",Open_time Control_1+(INT(Close)&amp;":"&amp;IF(ROUND(((Close-INT(Close))*60),0)&lt;10,0,"")&amp;ROUND(((Close-INT(Close))*60),0)))</f>
        <v>0.8194444444444444</v>
      </c>
    </row>
    <row r="13" spans="3:12" ht="12.75">
      <c r="C13" s="2" t="s">
        <v>31</v>
      </c>
      <c r="D13" s="20">
        <f>'VI0607A 050603'!A33</f>
        <v>274.2</v>
      </c>
      <c r="E13" s="21" t="s">
        <v>32</v>
      </c>
      <c r="F13" s="22" t="s">
        <v>33</v>
      </c>
      <c r="G13" s="22" t="s">
        <v>34</v>
      </c>
      <c r="H13" s="23"/>
      <c r="I13" s="5">
        <f aca="true" t="shared" si="1" ref="I13:I28">IF(ISBLANK(Distance),"",IF(Distance&gt;1000,(Distance-1000)/26+33.0847,(IF(Distance&gt;600,(Distance-600)/28+18.799,(IF(Distance&gt;400,(Distance-400)/30+12.1324,(IF(Distance&gt;200,(Distance-200)/32+5.8824,Distance/34))))))))</f>
        <v>8.201149999999998</v>
      </c>
      <c r="J13" s="5">
        <f t="shared" si="0"/>
        <v>18.279999999999998</v>
      </c>
      <c r="K13" s="25">
        <f>IF(ISBLANK(Distance),"",Open_time Control_1+(INT(Open)&amp;":"&amp;IF(ROUND(((Open-INT(Open))*60),0)&lt;10,0,"")&amp;ROUND(((Open-INT(Open))*60),0)))</f>
        <v>0.5916666666666667</v>
      </c>
      <c r="L13" s="25">
        <f>IF(ISBLANK(Distance),"",Open_time Control_1+(INT(Close)&amp;":"&amp;IF(ROUND(((Close-INT(Close))*60),0)&lt;10,0,"")&amp;ROUND(((Close-INT(Close))*60),0)))</f>
        <v>1.0118055555555556</v>
      </c>
    </row>
    <row r="14" spans="3:12" ht="12.75">
      <c r="C14" s="2" t="s">
        <v>35</v>
      </c>
      <c r="D14" s="20">
        <f>'VI0607A 050603'!F42</f>
        <v>310.6</v>
      </c>
      <c r="E14" s="21" t="s">
        <v>36</v>
      </c>
      <c r="F14" s="22" t="s">
        <v>37</v>
      </c>
      <c r="G14" s="22" t="s">
        <v>38</v>
      </c>
      <c r="H14" s="23" t="s">
        <v>39</v>
      </c>
      <c r="I14" s="5">
        <f t="shared" si="1"/>
        <v>9.338650000000001</v>
      </c>
      <c r="J14" s="5">
        <f t="shared" si="0"/>
        <v>20.706666666666667</v>
      </c>
      <c r="K14" s="25">
        <f>IF(ISBLANK(Distance),"",Open_time Control_1+(INT(Open)&amp;":"&amp;IF(ROUND(((Open-INT(Open))*60),0)&lt;10,0,"")&amp;ROUND(((Open-INT(Open))*60),0)))</f>
        <v>0.6388888888888888</v>
      </c>
      <c r="L14" s="25">
        <f>IF(ISBLANK(Distance),"",Open_time Control_1+(INT(Close)&amp;":"&amp;IF(ROUND(((Close-INT(Close))*60),0)&lt;10,0,"")&amp;ROUND(((Close-INT(Close))*60),0)))</f>
        <v>1.1125</v>
      </c>
    </row>
    <row r="15" spans="3:12" ht="12.75">
      <c r="C15" s="2" t="s">
        <v>40</v>
      </c>
      <c r="D15" s="20">
        <f>'VI0607A 050603'!A69</f>
        <v>376.10000000000014</v>
      </c>
      <c r="E15" s="21" t="s">
        <v>19</v>
      </c>
      <c r="F15" s="22" t="s">
        <v>20</v>
      </c>
      <c r="G15" s="22" t="s">
        <v>21</v>
      </c>
      <c r="H15" s="23" t="s">
        <v>22</v>
      </c>
      <c r="I15" s="5">
        <f t="shared" si="1"/>
        <v>11.385525000000005</v>
      </c>
      <c r="J15" s="5">
        <f t="shared" si="0"/>
        <v>25.07333333333334</v>
      </c>
      <c r="K15" s="25">
        <f>IF(ISBLANK(Distance),"",Open_time Control_1+(INT(Open)&amp;":"&amp;IF(ROUND(((Open-INT(Open))*60),0)&lt;10,0,"")&amp;ROUND(((Open-INT(Open))*60),0)))</f>
        <v>0.7243055555555555</v>
      </c>
      <c r="L15" s="25">
        <f>IF(ISBLANK(Distance),"",Open_time Control_1+(INT(Close)&amp;":"&amp;IF(ROUND(((Close-INT(Close))*60),0)&lt;10,0,"")&amp;ROUND(((Close-INT(Close))*60),0)))</f>
        <v>1.2944444444444445</v>
      </c>
    </row>
    <row r="16" spans="3:12" ht="12.75">
      <c r="C16" s="2" t="s">
        <v>41</v>
      </c>
      <c r="D16" s="20"/>
      <c r="E16" s="21"/>
      <c r="F16" s="22"/>
      <c r="G16" s="22"/>
      <c r="H16" s="23"/>
      <c r="I16">
        <f t="shared" si="1"/>
      </c>
      <c r="J16">
        <f t="shared" si="0"/>
      </c>
      <c r="K16" s="25">
        <f>IF(ISBLANK(Distance),"",Open_time Control_1+(INT(Open)&amp;":"&amp;IF(ROUND(((Open-INT(Open))*60),0)&lt;10,0,"")&amp;ROUND(((Open-INT(Open))*60),0)))</f>
      </c>
      <c r="L16" s="25">
        <f>IF(ISBLANK(Distance),"",Open_time Control_1+(INT(Close)&amp;":"&amp;IF(ROUND(((Close-INT(Close))*60),0)&lt;10,0,"")&amp;ROUND(((Close-INT(Close))*60),0)))</f>
      </c>
    </row>
    <row r="17" spans="3:12" ht="12.75">
      <c r="C17" s="2" t="s">
        <v>42</v>
      </c>
      <c r="D17" s="20"/>
      <c r="E17" s="21" t="s">
        <v>43</v>
      </c>
      <c r="F17" s="22"/>
      <c r="G17" s="22"/>
      <c r="H17" s="23"/>
      <c r="I17">
        <f t="shared" si="1"/>
      </c>
      <c r="J17">
        <f t="shared" si="0"/>
      </c>
      <c r="K17" s="25">
        <f>IF(ISBLANK(Distance),"",Open_time Control_1+(INT(Open)&amp;":"&amp;IF(ROUND(((Open-INT(Open))*60),0)&lt;10,0,"")&amp;ROUND(((Open-INT(Open))*60),0)))</f>
      </c>
      <c r="L17" s="25">
        <f>IF(ISBLANK(Distance),"",Open_time Control_1+(INT(Close)&amp;":"&amp;IF(ROUND(((Close-INT(Close))*60),0)&lt;10,0,"")&amp;ROUND(((Close-INT(Close))*60),0)))</f>
      </c>
    </row>
    <row r="18" spans="3:12" ht="12.75">
      <c r="C18" s="2" t="s">
        <v>44</v>
      </c>
      <c r="D18" s="20"/>
      <c r="E18" s="21" t="s">
        <v>43</v>
      </c>
      <c r="F18" s="22"/>
      <c r="G18" s="22"/>
      <c r="H18" s="23"/>
      <c r="I18">
        <f t="shared" si="1"/>
      </c>
      <c r="J18">
        <f t="shared" si="0"/>
      </c>
      <c r="K18" s="25">
        <f>IF(ISBLANK(Distance),"",Open_time Control_1+(INT(Open)&amp;":"&amp;IF(ROUND(((Open-INT(Open))*60),0)&lt;10,0,"")&amp;ROUND(((Open-INT(Open))*60),0)))</f>
      </c>
      <c r="L18" s="25">
        <f>IF(ISBLANK(Distance),"",Open_time Control_1+(INT(Close)&amp;":"&amp;IF(ROUND(((Close-INT(Close))*60),0)&lt;10,0,"")&amp;ROUND(((Close-INT(Close))*60),0)))</f>
      </c>
    </row>
    <row r="19" spans="3:12" ht="12.75">
      <c r="C19" s="2" t="s">
        <v>45</v>
      </c>
      <c r="D19" s="20"/>
      <c r="E19" s="21" t="s">
        <v>43</v>
      </c>
      <c r="F19" s="22"/>
      <c r="G19" s="22"/>
      <c r="H19" s="23"/>
      <c r="I19">
        <f t="shared" si="1"/>
      </c>
      <c r="J19">
        <f t="shared" si="0"/>
      </c>
      <c r="K19" s="25">
        <f>IF(ISBLANK(Distance),"",Open_time Control_1+(INT(Open)&amp;":"&amp;IF(ROUND(((Open-INT(Open))*60),0)&lt;10,0,"")&amp;ROUND(((Open-INT(Open))*60),0)))</f>
      </c>
      <c r="L19" s="25">
        <f>IF(ISBLANK(Distance),"",Open_time Control_1+(INT(Close)&amp;":"&amp;IF(ROUND(((Close-INT(Close))*60),0)&lt;10,0,"")&amp;ROUND(((Close-INT(Close))*60),0)))</f>
      </c>
    </row>
    <row r="20" spans="3:12" ht="12.75">
      <c r="C20" s="2" t="s">
        <v>46</v>
      </c>
      <c r="D20" s="20">
        <f>'VI0607A 050603'!F90</f>
        <v>446.00000000000045</v>
      </c>
      <c r="E20" s="21" t="s">
        <v>36</v>
      </c>
      <c r="F20" s="22" t="s">
        <v>37</v>
      </c>
      <c r="G20" s="22" t="s">
        <v>38</v>
      </c>
      <c r="H20" s="23" t="s">
        <v>39</v>
      </c>
      <c r="I20" s="5">
        <f t="shared" si="1"/>
        <v>13.66573333333335</v>
      </c>
      <c r="J20" s="5">
        <f t="shared" si="0"/>
        <v>29.733333333333363</v>
      </c>
      <c r="K20" s="25">
        <f>IF(ISBLANK(Distance),"",Open_time Control_1+(INT(Open)&amp;":"&amp;IF(ROUND(((Open-INT(Open))*60),0)&lt;10,0,"")&amp;ROUND(((Open-INT(Open))*60),0)))</f>
        <v>0.8194444444444444</v>
      </c>
      <c r="L20" s="25">
        <f>IF(ISBLANK(Distance),"",Open_time Control_1+(INT(Close)&amp;":"&amp;IF(ROUND(((Close-INT(Close))*60),0)&lt;10,0,"")&amp;ROUND(((Close-INT(Close))*60),0)))</f>
        <v>1.488888888888889</v>
      </c>
    </row>
    <row r="21" spans="3:12" ht="12.75">
      <c r="C21" s="2" t="s">
        <v>47</v>
      </c>
      <c r="D21" s="20">
        <f>'VI0607A 050603'!F109</f>
        <v>492.0000000000006</v>
      </c>
      <c r="E21" s="21" t="s">
        <v>48</v>
      </c>
      <c r="F21" s="22" t="s">
        <v>37</v>
      </c>
      <c r="G21" s="22" t="s">
        <v>49</v>
      </c>
      <c r="H21" s="23" t="s">
        <v>50</v>
      </c>
      <c r="I21" s="5">
        <f t="shared" si="1"/>
        <v>15.199066666666688</v>
      </c>
      <c r="J21" s="5">
        <f t="shared" si="0"/>
        <v>32.80000000000004</v>
      </c>
      <c r="K21" s="25">
        <f>IF(ISBLANK(Distance),"",Open_time Control_1+(INT(Open)&amp;":"&amp;IF(ROUND(((Open-INT(Open))*60),0)&lt;10,0,"")&amp;ROUND(((Open-INT(Open))*60),0)))</f>
        <v>0.8833333333333333</v>
      </c>
      <c r="L21" s="25">
        <f>IF(ISBLANK(Distance),"",Open_time Control_1+(INT(Close)&amp;":"&amp;IF(ROUND(((Close-INT(Close))*60),0)&lt;10,0,"")&amp;ROUND(((Close-INT(Close))*60),0)))</f>
        <v>1.6166666666666667</v>
      </c>
    </row>
    <row r="22" spans="3:12" ht="12.75">
      <c r="C22" s="2" t="s">
        <v>51</v>
      </c>
      <c r="D22" s="20">
        <f>'VI0607A 050603'!A132</f>
        <v>515.1000000000007</v>
      </c>
      <c r="E22" s="21" t="s">
        <v>32</v>
      </c>
      <c r="F22" s="22" t="s">
        <v>33</v>
      </c>
      <c r="G22" s="22" t="s">
        <v>34</v>
      </c>
      <c r="H22" s="23"/>
      <c r="I22" s="5">
        <f t="shared" si="1"/>
        <v>15.969066666666691</v>
      </c>
      <c r="J22" s="5">
        <f t="shared" si="0"/>
        <v>34.340000000000046</v>
      </c>
      <c r="K22" s="25">
        <f>IF(ISBLANK(Distance),"",Open_time Control_1+(INT(Open)&amp;":"&amp;IF(ROUND(((Open-INT(Open))*60),0)&lt;10,0,"")&amp;ROUND(((Open-INT(Open))*60),0)))</f>
        <v>0.9152777777777777</v>
      </c>
      <c r="L22" s="25">
        <f>IF(ISBLANK(Distance),"",Open_time Control_1+(INT(Close)&amp;":"&amp;IF(ROUND(((Close-INT(Close))*60),0)&lt;10,0,"")&amp;ROUND(((Close-INT(Close))*60),0)))</f>
        <v>1.6805555555555556</v>
      </c>
    </row>
    <row r="23" spans="3:12" ht="12.75">
      <c r="C23" s="2" t="s">
        <v>52</v>
      </c>
      <c r="D23" s="20">
        <f>'VI0607A 050603'!F137</f>
        <v>604.8000000000008</v>
      </c>
      <c r="E23" s="21" t="s">
        <v>19</v>
      </c>
      <c r="F23" s="22" t="s">
        <v>20</v>
      </c>
      <c r="G23" s="22" t="s">
        <v>21</v>
      </c>
      <c r="H23" s="23" t="s">
        <v>22</v>
      </c>
      <c r="I23" s="5">
        <f t="shared" si="1"/>
        <v>18.9704285714286</v>
      </c>
      <c r="J23" s="5">
        <f t="shared" si="0"/>
        <v>40</v>
      </c>
      <c r="K23" s="25">
        <f>IF(ISBLANK(Distance),"",Open_time Control_1+(INT(Open)&amp;":"&amp;IF(ROUND(((Open-INT(Open))*60),0)&lt;10,0,"")&amp;ROUND(((Open-INT(Open))*60),0)))</f>
        <v>1.0402777777777779</v>
      </c>
      <c r="L23" s="25">
        <f>IF(ISBLANK(Distance),"",Open_time Control_1+(INT(Close)&amp;":"&amp;IF(ROUND(((Close-INT(Close))*60),0)&lt;10,0,"")&amp;ROUND(((Close-INT(Close))*60),0)))</f>
        <v>1.9166666666666667</v>
      </c>
    </row>
    <row r="24" spans="3:12" ht="12.75">
      <c r="C24" s="2" t="s">
        <v>53</v>
      </c>
      <c r="D24" s="20"/>
      <c r="E24" s="21"/>
      <c r="F24" s="22"/>
      <c r="G24" s="22"/>
      <c r="H24" s="23"/>
      <c r="I24">
        <f t="shared" si="1"/>
      </c>
      <c r="J24">
        <f t="shared" si="0"/>
      </c>
      <c r="K24" s="25">
        <f>IF(ISBLANK(Distance),"",Open_time Control_1+(INT(Open)&amp;":"&amp;IF(ROUND(((Open-INT(Open))*60),0)&lt;10,0,"")&amp;ROUND(((Open-INT(Open))*60),0)))</f>
      </c>
      <c r="L24" s="25">
        <f>IF(ISBLANK(Distance),"",Open_time Control_1+(INT(Close)&amp;":"&amp;IF(ROUND(((Close-INT(Close))*60),0)&lt;10,0,"")&amp;ROUND(((Close-INT(Close))*60),0)))</f>
      </c>
    </row>
    <row r="25" spans="3:12" ht="12.75">
      <c r="C25" s="2" t="s">
        <v>54</v>
      </c>
      <c r="D25" s="20"/>
      <c r="E25" s="21"/>
      <c r="F25" s="22"/>
      <c r="G25" s="22"/>
      <c r="H25" s="23"/>
      <c r="I25">
        <f t="shared" si="1"/>
      </c>
      <c r="J25">
        <f t="shared" si="0"/>
      </c>
      <c r="K25" s="25">
        <f>IF(ISBLANK(Distance),"",Open_time Control_1+(INT(Open)&amp;":"&amp;IF(ROUND(((Open-INT(Open))*60),0)&lt;10,0,"")&amp;ROUND(((Open-INT(Open))*60),0)))</f>
      </c>
      <c r="L25" s="25">
        <f>IF(ISBLANK(Distance),"",Open_time Control_1+(INT(Close)&amp;":"&amp;IF(ROUND(((Close-INT(Close))*60),0)&lt;10,0,"")&amp;ROUND(((Close-INT(Close))*60),0)))</f>
      </c>
    </row>
    <row r="26" spans="3:12" ht="12.75">
      <c r="C26" s="2" t="s">
        <v>55</v>
      </c>
      <c r="D26" s="20"/>
      <c r="E26" s="21"/>
      <c r="F26" s="22"/>
      <c r="G26" s="22"/>
      <c r="H26" s="23"/>
      <c r="I26">
        <f t="shared" si="1"/>
      </c>
      <c r="J26">
        <f t="shared" si="0"/>
      </c>
      <c r="K26" s="25">
        <f>IF(ISBLANK(Distance),"",Open_time Control_1+(INT(Open)&amp;":"&amp;IF(ROUND(((Open-INT(Open))*60),0)&lt;10,0,"")&amp;ROUND(((Open-INT(Open))*60),0)))</f>
      </c>
      <c r="L26" s="25">
        <f>IF(ISBLANK(Distance),"",Open_time Control_1+(INT(Close)&amp;":"&amp;IF(ROUND(((Close-INT(Close))*60),0)&lt;10,0,"")&amp;ROUND(((Close-INT(Close))*60),0)))</f>
      </c>
    </row>
    <row r="27" spans="3:12" ht="12.75">
      <c r="C27" s="2" t="s">
        <v>56</v>
      </c>
      <c r="D27" s="20"/>
      <c r="E27" s="21" t="s">
        <v>43</v>
      </c>
      <c r="F27" s="22"/>
      <c r="G27" s="22"/>
      <c r="H27" s="23"/>
      <c r="I27">
        <f t="shared" si="1"/>
      </c>
      <c r="J27">
        <f t="shared" si="0"/>
      </c>
      <c r="K27" s="25">
        <f>IF(ISBLANK(Distance),"",Open_time Control_1+(INT(Open)&amp;":"&amp;IF(ROUND(((Open-INT(Open))*60),0)&lt;10,0,"")&amp;ROUND(((Open-INT(Open))*60),0)))</f>
      </c>
      <c r="L27" s="25">
        <f>IF(ISBLANK(Distance),"",Open_time Control_1+(INT(Close)&amp;":"&amp;IF(ROUND(((Close-INT(Close))*60),0)&lt;10,0,"")&amp;ROUND(((Close-INT(Close))*60),0)))</f>
      </c>
    </row>
    <row r="28" spans="3:12" ht="12.75">
      <c r="C28" s="2" t="s">
        <v>57</v>
      </c>
      <c r="D28" s="20"/>
      <c r="E28" s="21" t="s">
        <v>43</v>
      </c>
      <c r="F28" s="22"/>
      <c r="G28" s="22"/>
      <c r="H28" s="23"/>
      <c r="I28">
        <f t="shared" si="1"/>
      </c>
      <c r="J28">
        <f>IF(ISBLANK(Distance),"",IF(Distance&gt;=brevet,IF(brevet&gt;1200,(brevet-1200)*75/1000+90,Max_time),IF(Distance&gt;1200,(Distance-1200)*75/1000+90,IF(Distance&gt;1000,(Distance-1000)/(1000/75)+75,IF(Distance&gt;600,(Distance-600)/(400/35)+40,Distance/15)))))</f>
      </c>
      <c r="K28" s="25">
        <f>IF(ISBLANK(Distance),"",Open_time Control_1+(INT(Open)&amp;":"&amp;IF(ROUND(((Open-INT(Open))*60),0)&lt;10,0,"")&amp;ROUND(((Open-INT(Open))*60),0)))</f>
      </c>
      <c r="L28" s="25">
        <f>IF(ISBLANK(Distance),"",Open_time Control_1+(INT(Close)&amp;":"&amp;IF(ROUND(((Close-INT(Close))*60),0)&lt;10,0,"")&amp;ROUND(((Close-INT(Close))*60),0)))</f>
      </c>
    </row>
    <row r="29" spans="3:12" ht="12.75">
      <c r="C29" s="2" t="s">
        <v>58</v>
      </c>
      <c r="D29" s="26"/>
      <c r="E29" s="27" t="s">
        <v>43</v>
      </c>
      <c r="F29" s="28"/>
      <c r="G29" s="28"/>
      <c r="H29" s="29"/>
      <c r="I29">
        <f>IF(ISBLANK(Distance),"",IF(Distance&gt;1000,(Distance-1000)/26+33.0847,(IF(Distance&gt;600,(Distance-600)/28+18.799,(IF(Distance&gt;400,(Distance-400)/30+12.1324,(IF(Distance&gt;200,(Distance-200)/32+5.8824,Distance/34))))))))</f>
      </c>
      <c r="J29">
        <f>IF(ISBLANK(Distance),"",IF(Distance&gt;=brevet,IF(brevet&gt;1200,(brevet-1200)*75/1000+90,Max_time),IF(Distance&gt;1200,(Distance-1200)*75/1000+90,IF(Distance&gt;1000,(Distance-1000)/(1000/75)+75,IF(Distance&gt;600,(Distance-600)/(400/35)+40,Distance/15)))))</f>
      </c>
      <c r="K29" s="25">
        <f>IF(ISBLANK(Distance),"",Open_time Control_1+(INT(Open)&amp;":"&amp;IF(ROUND(((Open-INT(Open))*60),0)&lt;10,0,"")&amp;ROUND(((Open-INT(Open))*60),0)))</f>
      </c>
      <c r="L29" s="25">
        <f>IF(ISBLANK(Distance),"",Open_time Control_1+(INT(Close)&amp;":"&amp;IF(ROUND(((Close-INT(Close))*60),0)&lt;10,0,"")&amp;ROUND(((Close-INT(Close))*60),0)))</f>
      </c>
    </row>
  </sheetData>
  <sheetProtection selectLockedCells="1" selectUnlockedCells="1"/>
  <mergeCells count="2">
    <mergeCell ref="B3:H3"/>
    <mergeCell ref="D7:H7"/>
  </mergeCells>
  <printOptions/>
  <pageMargins left="0.7479166666666667" right="0.7479166666666667" top="0.9840277777777777" bottom="0.9840277777777777" header="0.5" footer="0.5"/>
  <pageSetup horizontalDpi="300" verticalDpi="300" orientation="portrait"/>
  <headerFooter alignWithMargins="0">
    <oddHeader>&amp;C&amp;A</oddHeader>
    <oddFooter>&amp;CPage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U64"/>
  <sheetViews>
    <sheetView workbookViewId="0" topLeftCell="A1">
      <selection activeCell="A1" sqref="A1"/>
    </sheetView>
  </sheetViews>
  <sheetFormatPr defaultColWidth="9.140625" defaultRowHeight="12.75"/>
  <cols>
    <col min="1" max="1" width="9.28125" style="30" customWidth="1"/>
    <col min="2" max="3" width="12.57421875" style="0" customWidth="1"/>
    <col min="4" max="4" width="19.28125" style="0" customWidth="1"/>
    <col min="5" max="5" width="24.57421875" style="0" customWidth="1"/>
    <col min="6" max="6" width="42.7109375" style="0" customWidth="1"/>
    <col min="7" max="7" width="13.57421875" style="0" customWidth="1"/>
    <col min="8" max="8" width="9.140625" style="31" customWidth="1"/>
    <col min="9" max="9" width="8.7109375" style="0" customWidth="1"/>
    <col min="10" max="16384" width="8.8515625" style="0" customWidth="1"/>
  </cols>
  <sheetData>
    <row r="1" spans="1:8" ht="19.5">
      <c r="A1" s="32" t="s">
        <v>59</v>
      </c>
      <c r="B1" s="32"/>
      <c r="C1" s="32"/>
      <c r="D1" s="32"/>
      <c r="E1" s="32"/>
      <c r="F1" s="32"/>
      <c r="G1" s="32"/>
      <c r="H1" s="11" t="s">
        <v>60</v>
      </c>
    </row>
    <row r="2" spans="1:14" ht="33.75" customHeight="1">
      <c r="A2" s="33" t="s">
        <v>61</v>
      </c>
      <c r="B2" s="34" t="s">
        <v>14</v>
      </c>
      <c r="C2" s="34" t="s">
        <v>15</v>
      </c>
      <c r="D2" s="34" t="s">
        <v>10</v>
      </c>
      <c r="E2" s="34" t="s">
        <v>62</v>
      </c>
      <c r="F2" s="34" t="s">
        <v>63</v>
      </c>
      <c r="G2" s="33" t="s">
        <v>64</v>
      </c>
      <c r="H2" s="11" t="s">
        <v>60</v>
      </c>
      <c r="N2" s="35"/>
    </row>
    <row r="3" spans="1:14" ht="36" customHeight="1">
      <c r="A3" s="36"/>
      <c r="B3" s="37">
        <f>Control_1 Open_time</f>
        <v>0.25</v>
      </c>
      <c r="C3" s="37">
        <f>Control_1 Close_time</f>
        <v>0.2916666666666667</v>
      </c>
      <c r="D3" s="38"/>
      <c r="E3" s="39">
        <f>IF(ISBLANK(Control_1 Establishment_1),"",Control_1 Establishment_1)</f>
        <v>0</v>
      </c>
      <c r="F3" s="40"/>
      <c r="G3" s="41"/>
      <c r="H3" s="11" t="s">
        <v>60</v>
      </c>
      <c r="K3" s="42"/>
      <c r="N3" s="35"/>
    </row>
    <row r="4" spans="1:14" ht="36" customHeight="1">
      <c r="A4" s="43">
        <f>IF(ISBLANK(Distance Control_1),"",Control_1 Distance)</f>
        <v>0</v>
      </c>
      <c r="B4" s="44">
        <f>Control_1 Open_time</f>
        <v>0.25</v>
      </c>
      <c r="C4" s="44">
        <f>Control_1 Close_time</f>
        <v>0.2916666666666667</v>
      </c>
      <c r="D4" s="45">
        <f>IF(ISBLANK(Locale Control_1),"",Locale Control_1)</f>
        <v>0</v>
      </c>
      <c r="E4" s="39">
        <f>IF(ISBLANK(Control_1 Establishment_2),"",Control_1 Establishment_2)</f>
        <v>0</v>
      </c>
      <c r="F4" s="40"/>
      <c r="G4" s="41"/>
      <c r="H4" s="11" t="s">
        <v>60</v>
      </c>
      <c r="K4" s="42"/>
      <c r="N4" s="35"/>
    </row>
    <row r="5" spans="1:11" ht="36" customHeight="1">
      <c r="A5" s="46"/>
      <c r="B5" s="47">
        <f>Control_1 Open_time</f>
        <v>0.25</v>
      </c>
      <c r="C5" s="47">
        <f>Control_1 Close_time</f>
        <v>0.2916666666666667</v>
      </c>
      <c r="D5" s="48"/>
      <c r="E5" s="49">
        <f>IF(ISBLANK(Control_1 Establishment_3),"",Control_1 Establishment_3)</f>
        <v>0</v>
      </c>
      <c r="F5" s="50"/>
      <c r="G5" s="51"/>
      <c r="H5" s="11" t="s">
        <v>60</v>
      </c>
      <c r="K5" s="42"/>
    </row>
    <row r="6" spans="1:11" ht="36" customHeight="1">
      <c r="A6" s="36"/>
      <c r="B6" s="37">
        <f>Control_2 Open_time</f>
        <v>0.37222222222222223</v>
      </c>
      <c r="C6" s="37">
        <f>Control_2 Close_time</f>
        <v>0.5270833333333333</v>
      </c>
      <c r="D6" s="52"/>
      <c r="E6" s="39">
        <f>IF(ISBLANK(Control_2 Establishment_1),"",Control_2 Establishment_1)</f>
        <v>0</v>
      </c>
      <c r="F6" s="40"/>
      <c r="G6" s="41"/>
      <c r="H6" s="11" t="s">
        <v>60</v>
      </c>
      <c r="K6" s="42"/>
    </row>
    <row r="7" spans="1:11" ht="36" customHeight="1">
      <c r="A7" s="43">
        <f>IF(ISBLANK(Distance Control_2),"",Control_2 Distance)</f>
        <v>99.80000000000001</v>
      </c>
      <c r="B7" s="44">
        <f>Control_2 Open_time</f>
        <v>0.37222222222222223</v>
      </c>
      <c r="C7" s="44">
        <f>Control_2 Close_time</f>
        <v>0.5270833333333333</v>
      </c>
      <c r="D7" s="45">
        <f>IF(ISBLANK(Locale Control_2),"",Locale Control_2)</f>
        <v>0</v>
      </c>
      <c r="E7" s="39">
        <f>IF(ISBLANK(Control_2 Establishment_2),"",Control_2 Establishment_2)</f>
        <v>0</v>
      </c>
      <c r="F7" s="40"/>
      <c r="G7" s="41"/>
      <c r="H7" s="11" t="s">
        <v>60</v>
      </c>
      <c r="K7" s="42"/>
    </row>
    <row r="8" spans="1:20" ht="36" customHeight="1">
      <c r="A8" s="46"/>
      <c r="B8" s="47">
        <f>Control_2 Open_time</f>
        <v>0.37222222222222223</v>
      </c>
      <c r="C8" s="47">
        <f>Control_2 Close_time</f>
        <v>0.5270833333333333</v>
      </c>
      <c r="D8" s="48"/>
      <c r="E8" s="49">
        <f>IF(ISBLANK(Control_2 Establishment_3),"",Control_2 Establishment_3)</f>
        <v>0</v>
      </c>
      <c r="F8" s="50"/>
      <c r="G8" s="51"/>
      <c r="H8" s="11" t="s">
        <v>60</v>
      </c>
      <c r="J8" s="53" t="s">
        <v>65</v>
      </c>
      <c r="K8" s="53"/>
      <c r="L8" s="53"/>
      <c r="M8" s="53"/>
      <c r="N8" s="53"/>
      <c r="O8" s="53"/>
      <c r="P8" s="53"/>
      <c r="Q8" s="53"/>
      <c r="R8" s="53"/>
      <c r="S8" s="53"/>
      <c r="T8" s="53"/>
    </row>
    <row r="9" spans="1:19" ht="36" customHeight="1">
      <c r="A9" s="36"/>
      <c r="B9" s="37">
        <f>Control_3 Open_time</f>
        <v>0.5013888888888889</v>
      </c>
      <c r="C9" s="37">
        <f>Control_3 Close_time</f>
        <v>0.8194444444444444</v>
      </c>
      <c r="D9" s="52"/>
      <c r="E9" s="39">
        <f>IF(ISBLANK(Control_3 Establishment_1),"",Control_3 Establishment_1)</f>
        <v>0</v>
      </c>
      <c r="F9" s="40"/>
      <c r="G9" s="41"/>
      <c r="H9" s="11" t="s">
        <v>60</v>
      </c>
      <c r="J9" s="54">
        <f>IF(ISBLANK(brevet),"",brevet&amp;" km Randonnée")</f>
        <v>0</v>
      </c>
      <c r="K9" s="54"/>
      <c r="L9" s="54"/>
      <c r="M9" s="54"/>
      <c r="N9" s="54"/>
      <c r="O9" s="54"/>
      <c r="P9" s="54"/>
      <c r="Q9" s="54"/>
      <c r="R9" s="54"/>
      <c r="S9" s="54"/>
    </row>
    <row r="10" spans="1:20" ht="36" customHeight="1">
      <c r="A10" s="43">
        <f>IF(ISBLANK(Distance Control_3),"",Control_3 Distance)</f>
        <v>204.9</v>
      </c>
      <c r="B10" s="44">
        <f>Control_3 Open_time</f>
        <v>0.5013888888888889</v>
      </c>
      <c r="C10" s="44">
        <f>Control_3 Close_time</f>
        <v>0.8194444444444444</v>
      </c>
      <c r="D10" s="45">
        <f>IF(ISBLANK(Locale Control_3),"",Locale Control_3)</f>
        <v>0</v>
      </c>
      <c r="E10" s="39">
        <f>IF(ISBLANK(Control_3 Establishment_2),"",Control_3 Establishment_2)</f>
        <v>0</v>
      </c>
      <c r="F10" s="40"/>
      <c r="G10" s="41"/>
      <c r="H10" s="11" t="s">
        <v>60</v>
      </c>
      <c r="J10" s="55">
        <f>IF(ISBLANK(Brevet_Description),"",Brevet_Description)</f>
        <v>0</v>
      </c>
      <c r="K10" s="55"/>
      <c r="L10" s="55"/>
      <c r="M10" s="55"/>
      <c r="N10" s="55"/>
      <c r="O10" s="55"/>
      <c r="P10" s="55"/>
      <c r="Q10" s="55"/>
      <c r="R10" s="55"/>
      <c r="S10" s="55"/>
      <c r="T10" s="55"/>
    </row>
    <row r="11" spans="1:20" ht="36" customHeight="1">
      <c r="A11" s="46"/>
      <c r="B11" s="47">
        <f>Control_3 Open_time</f>
        <v>0.5013888888888889</v>
      </c>
      <c r="C11" s="47">
        <f>Control_3 Close_time</f>
        <v>0.8194444444444444</v>
      </c>
      <c r="D11" s="48"/>
      <c r="E11" s="49">
        <f>IF(ISBLANK(Control_3 Establishment_3),"",Control_3 Establishment_3)</f>
        <v>0</v>
      </c>
      <c r="F11" s="50"/>
      <c r="G11" s="51"/>
      <c r="H11" s="11" t="s">
        <v>60</v>
      </c>
      <c r="K11" s="56"/>
      <c r="L11" s="56"/>
      <c r="M11" s="56"/>
      <c r="N11" s="56"/>
      <c r="O11" s="56"/>
      <c r="P11" s="56"/>
      <c r="Q11" s="56"/>
      <c r="R11" s="56"/>
      <c r="S11" s="56"/>
      <c r="T11" s="56"/>
    </row>
    <row r="12" spans="1:20" ht="36" customHeight="1">
      <c r="A12" s="36"/>
      <c r="B12" s="37">
        <f>Control_4 Open_time</f>
        <v>0.5916666666666667</v>
      </c>
      <c r="C12" s="37">
        <f>Control_4 Close_time</f>
        <v>1.0118055555555556</v>
      </c>
      <c r="D12" s="52"/>
      <c r="E12" s="39">
        <f>IF(ISBLANK(Control_4 Establishment_1),"",Control_4 Establishment_1)</f>
        <v>0</v>
      </c>
      <c r="F12" s="40"/>
      <c r="G12" s="41"/>
      <c r="H12" s="11" t="s">
        <v>60</v>
      </c>
      <c r="J12" s="57" t="s">
        <v>66</v>
      </c>
      <c r="L12" s="58" t="str">
        <f>IF(ISBLANK(surname),"",First_Name&amp;" "&amp;Initial&amp;" "&amp;surname)</f>
        <v>  </v>
      </c>
      <c r="M12" s="59"/>
      <c r="N12" s="59"/>
      <c r="O12" s="59"/>
      <c r="P12" s="59"/>
      <c r="Q12" s="59"/>
      <c r="R12" s="59"/>
      <c r="S12" s="59"/>
      <c r="T12" s="60"/>
    </row>
    <row r="13" spans="1:20" ht="36" customHeight="1">
      <c r="A13" s="43">
        <f>IF(ISBLANK(Distance Control_4),"",Control_4 Distance)</f>
        <v>274.2</v>
      </c>
      <c r="B13" s="44">
        <f>Control_4 Open_time</f>
        <v>0.5916666666666667</v>
      </c>
      <c r="C13" s="44">
        <f>Control_4 Close_time</f>
        <v>1.0118055555555556</v>
      </c>
      <c r="D13" s="45">
        <f>IF(ISBLANK(Locale Control_4),"",Locale Control_4)</f>
        <v>0</v>
      </c>
      <c r="E13" s="39">
        <f>IF(ISBLANK(Control_4 Establishment_2),"",Control_4 Establishment_2)</f>
        <v>0</v>
      </c>
      <c r="F13" s="40"/>
      <c r="G13" s="41"/>
      <c r="H13" s="11" t="s">
        <v>60</v>
      </c>
      <c r="J13" s="57" t="s">
        <v>67</v>
      </c>
      <c r="K13" s="57"/>
      <c r="L13" s="61">
        <f>IF(ISBLANK(Address_1),"",Address_1)</f>
      </c>
      <c r="M13" s="62"/>
      <c r="N13" s="62"/>
      <c r="O13" s="62"/>
      <c r="P13" s="62"/>
      <c r="Q13" s="62"/>
      <c r="R13" s="62"/>
      <c r="S13" s="62"/>
      <c r="T13" s="63"/>
    </row>
    <row r="14" spans="1:20" ht="36" customHeight="1">
      <c r="A14" s="46"/>
      <c r="B14" s="47">
        <f>Control_4 Open_time</f>
        <v>0.5916666666666667</v>
      </c>
      <c r="C14" s="47">
        <f>Control_4 Close_time</f>
        <v>1.0118055555555556</v>
      </c>
      <c r="D14" s="48"/>
      <c r="E14" s="49">
        <f>IF(ISBLANK(Control_4 Establishment_3),"",Control_4 Establishment_3)</f>
        <v>0</v>
      </c>
      <c r="F14" s="50"/>
      <c r="G14" s="51"/>
      <c r="H14" s="11" t="s">
        <v>60</v>
      </c>
      <c r="J14" s="57"/>
      <c r="K14" s="57"/>
      <c r="L14" s="61">
        <f>IF(ISBLANK(Address_2),"",Address_2)</f>
      </c>
      <c r="M14" s="62"/>
      <c r="N14" s="62"/>
      <c r="O14" s="62"/>
      <c r="P14" s="62"/>
      <c r="Q14" s="62"/>
      <c r="R14" s="62"/>
      <c r="S14" s="62"/>
      <c r="T14" s="63"/>
    </row>
    <row r="15" spans="1:20" ht="36" customHeight="1">
      <c r="A15" s="36"/>
      <c r="B15" s="37">
        <f>Control_5 Open_time</f>
        <v>0.6388888888888888</v>
      </c>
      <c r="C15" s="37">
        <f>Control_5 Close_time</f>
        <v>1.1125</v>
      </c>
      <c r="D15" s="52"/>
      <c r="E15" s="39">
        <f>IF(ISBLANK(Control_5 Establishment_1),"",Control_5 Establishment_1)</f>
        <v>0</v>
      </c>
      <c r="F15" s="40"/>
      <c r="G15" s="41"/>
      <c r="H15" s="11" t="s">
        <v>60</v>
      </c>
      <c r="J15" s="57" t="s">
        <v>68</v>
      </c>
      <c r="K15" s="57"/>
      <c r="L15" s="61">
        <f>IF(ISBLANK(City),"",City)</f>
      </c>
      <c r="M15" s="62"/>
      <c r="N15" s="62"/>
      <c r="O15" s="64"/>
      <c r="P15" s="64" t="s">
        <v>69</v>
      </c>
      <c r="Q15" s="64"/>
      <c r="R15" s="64"/>
      <c r="S15" s="61">
        <f>IF(ISBLANK(Province_State),"",Province_State)</f>
      </c>
      <c r="T15" s="63"/>
    </row>
    <row r="16" spans="1:20" ht="36" customHeight="1">
      <c r="A16" s="43">
        <f>IF(ISBLANK(Distance Control_5),"",Control_5 Distance)</f>
        <v>310.6</v>
      </c>
      <c r="B16" s="44">
        <f>Control_5 Open_time</f>
        <v>0.6388888888888888</v>
      </c>
      <c r="C16" s="44">
        <f>Control_5 Close_time</f>
        <v>1.1125</v>
      </c>
      <c r="D16" s="45">
        <f>IF(ISBLANK(Locale Control_5),"",Locale Control_5)</f>
        <v>0</v>
      </c>
      <c r="E16" s="39">
        <f>IF(ISBLANK(Control_5 Establishment_2),"",Control_5 Establishment_2)</f>
        <v>0</v>
      </c>
      <c r="F16" s="40"/>
      <c r="G16" s="41"/>
      <c r="H16" s="11" t="s">
        <v>60</v>
      </c>
      <c r="J16" s="57" t="s">
        <v>70</v>
      </c>
      <c r="K16" s="57"/>
      <c r="L16" s="61">
        <f>IF(ISBLANK(Country),"",Country)</f>
      </c>
      <c r="M16" s="62"/>
      <c r="N16" s="62"/>
      <c r="O16" s="64"/>
      <c r="P16" s="64" t="s">
        <v>71</v>
      </c>
      <c r="Q16" s="64"/>
      <c r="R16" s="64"/>
      <c r="S16" s="61">
        <f>IF(ISBLANK(Postal_Code),"",Postal_Code)</f>
      </c>
      <c r="T16" s="63"/>
    </row>
    <row r="17" spans="1:19" ht="36" customHeight="1">
      <c r="A17" s="46"/>
      <c r="B17" s="47">
        <f>Control_5 Open_time</f>
        <v>0.6388888888888888</v>
      </c>
      <c r="C17" s="47">
        <f>Control_5 Close_time</f>
        <v>1.1125</v>
      </c>
      <c r="D17" s="48"/>
      <c r="E17" s="49">
        <f>IF(ISBLANK(Control_5 Establishment_3),"",Control_5 Establishment_3)</f>
        <v>0</v>
      </c>
      <c r="F17" s="50"/>
      <c r="G17" s="51"/>
      <c r="H17" s="11" t="s">
        <v>60</v>
      </c>
      <c r="L17" s="65"/>
      <c r="M17" s="65"/>
      <c r="N17" s="65"/>
      <c r="O17" s="65"/>
      <c r="P17" s="65"/>
      <c r="Q17" s="65"/>
      <c r="R17" s="65"/>
      <c r="S17" s="65"/>
    </row>
    <row r="18" spans="1:20" ht="36" customHeight="1">
      <c r="A18" s="36"/>
      <c r="B18" s="37">
        <f>Control_6 Open_time</f>
        <v>0.7243055555555555</v>
      </c>
      <c r="C18" s="37">
        <f>Control_6 Close_time</f>
        <v>1.2944444444444445</v>
      </c>
      <c r="D18" s="52"/>
      <c r="E18" s="39">
        <f>IF(ISBLANK(Control_6 Establishment_1),"",Control_6 Establishment_1)</f>
        <v>0</v>
      </c>
      <c r="F18" s="40"/>
      <c r="G18" s="41"/>
      <c r="H18" s="11" t="s">
        <v>60</v>
      </c>
      <c r="J18" s="57" t="s">
        <v>72</v>
      </c>
      <c r="L18" s="66">
        <f>IF(ISBLANK(Home_telephone),"",Home_telephone)</f>
      </c>
      <c r="M18" s="66"/>
      <c r="N18" s="66"/>
      <c r="O18" s="65"/>
      <c r="P18" s="64" t="s">
        <v>73</v>
      </c>
      <c r="Q18" s="67">
        <f>IF(ISBLANK(email),"",email)</f>
      </c>
      <c r="R18" s="68"/>
      <c r="S18" s="68"/>
      <c r="T18" s="69"/>
    </row>
    <row r="19" spans="1:19" ht="36" customHeight="1">
      <c r="A19" s="43">
        <f>IF(ISBLANK(Distance Control_6),"",Control_6 Distance)</f>
        <v>376.10000000000014</v>
      </c>
      <c r="B19" s="44">
        <f>Control_6 Open_time</f>
        <v>0.7243055555555555</v>
      </c>
      <c r="C19" s="44">
        <f>Control_6 Close_time</f>
        <v>1.2944444444444445</v>
      </c>
      <c r="D19" s="45">
        <f>IF(ISBLANK(Locale Control_6),"",Locale Control_6)</f>
        <v>0</v>
      </c>
      <c r="E19" s="39">
        <f>IF(ISBLANK(Control_6 Establishment_2),"",Control_6 Establishment_2)</f>
        <v>0</v>
      </c>
      <c r="F19" s="40"/>
      <c r="G19" s="41"/>
      <c r="H19" s="11" t="s">
        <v>60</v>
      </c>
      <c r="L19" s="65"/>
      <c r="M19" s="65"/>
      <c r="N19" s="65"/>
      <c r="O19" s="65"/>
      <c r="P19" s="65"/>
      <c r="Q19" s="65"/>
      <c r="R19" s="65"/>
      <c r="S19" s="65"/>
    </row>
    <row r="20" spans="1:20" ht="36" customHeight="1">
      <c r="A20" s="46"/>
      <c r="B20" s="47">
        <f>Control_6 Open_time</f>
        <v>0.7243055555555555</v>
      </c>
      <c r="C20" s="47">
        <f>Control_6 Close_time</f>
        <v>1.2944444444444445</v>
      </c>
      <c r="D20" s="48"/>
      <c r="E20" s="49">
        <f>IF(ISBLANK(Control_6 Establishment_3),"",Control_6 Establishment_3)</f>
        <v>0</v>
      </c>
      <c r="F20" s="50"/>
      <c r="G20" s="51"/>
      <c r="H20" s="11" t="s">
        <v>60</v>
      </c>
      <c r="J20" s="70" t="s">
        <v>74</v>
      </c>
      <c r="K20" s="70"/>
      <c r="L20" s="70"/>
      <c r="M20" s="70"/>
      <c r="N20" s="70"/>
      <c r="O20" s="70"/>
      <c r="P20" s="70"/>
      <c r="Q20" s="70"/>
      <c r="R20" s="70"/>
      <c r="S20" s="70"/>
      <c r="T20" s="70"/>
    </row>
    <row r="21" spans="1:20" ht="36" customHeight="1">
      <c r="A21" s="36"/>
      <c r="B21" s="37">
        <f>Control_7 Open_time</f>
        <v>0</v>
      </c>
      <c r="C21" s="37">
        <f>Control_7 Close_time</f>
        <v>0</v>
      </c>
      <c r="D21" s="52"/>
      <c r="E21" s="39">
        <f>IF(ISBLANK(Control_7 Establishment_1),"",Control_7 Establishment_1)</f>
        <v>0</v>
      </c>
      <c r="F21" s="40"/>
      <c r="G21" s="41"/>
      <c r="H21" s="11" t="s">
        <v>60</v>
      </c>
      <c r="J21" s="70" t="s">
        <v>75</v>
      </c>
      <c r="K21" s="70"/>
      <c r="L21" s="70"/>
      <c r="M21" s="70"/>
      <c r="N21" s="70"/>
      <c r="O21" s="70"/>
      <c r="P21" s="70"/>
      <c r="Q21" s="70"/>
      <c r="R21" s="70"/>
      <c r="S21" s="70"/>
      <c r="T21" s="70"/>
    </row>
    <row r="22" spans="1:19" ht="36" customHeight="1">
      <c r="A22" s="43">
        <f>IF(ISBLANK(Distance Control_7),"",Control_7 Distance)</f>
      </c>
      <c r="B22" s="44">
        <f>Control_7 Open_time</f>
        <v>0</v>
      </c>
      <c r="C22" s="44">
        <f>Control_7 Close_time</f>
        <v>0</v>
      </c>
      <c r="D22" s="45">
        <f>IF(ISBLANK(Locale Control_7),"",Locale Control_7)</f>
        <v>0</v>
      </c>
      <c r="E22" s="39">
        <f>IF(ISBLANK(Control_7 Establishment_2),"",Control_7 Establishment_2)</f>
        <v>0</v>
      </c>
      <c r="F22" s="40"/>
      <c r="G22" s="41"/>
      <c r="H22" s="11" t="s">
        <v>60</v>
      </c>
      <c r="L22" s="65"/>
      <c r="M22" s="65"/>
      <c r="N22" s="65"/>
      <c r="O22" s="65"/>
      <c r="P22" s="65"/>
      <c r="Q22" s="65"/>
      <c r="R22" s="65"/>
      <c r="S22" s="65"/>
    </row>
    <row r="23" spans="1:20" ht="36" customHeight="1">
      <c r="A23" s="46"/>
      <c r="B23" s="47">
        <f>Control_7 Open_time</f>
        <v>0</v>
      </c>
      <c r="C23" s="47">
        <f>Control_7 Close_time</f>
        <v>0</v>
      </c>
      <c r="D23" s="48"/>
      <c r="E23" s="49">
        <f>IF(ISBLANK(Control_7 Establishment_3),"",Control_7 Establishment_3)</f>
        <v>0</v>
      </c>
      <c r="F23" s="50"/>
      <c r="G23" s="51"/>
      <c r="H23" s="11" t="s">
        <v>60</v>
      </c>
      <c r="J23" s="71" t="s">
        <v>76</v>
      </c>
      <c r="K23" s="71"/>
      <c r="L23" s="71"/>
      <c r="M23" s="71"/>
      <c r="N23" s="71"/>
      <c r="O23" s="71"/>
      <c r="P23" s="71"/>
      <c r="Q23" s="71"/>
      <c r="R23" s="71"/>
      <c r="S23" s="71"/>
      <c r="T23" s="71"/>
    </row>
    <row r="24" spans="1:20" ht="36" customHeight="1">
      <c r="A24" s="36"/>
      <c r="B24" s="37">
        <f>Control_8 Open_time</f>
        <v>0</v>
      </c>
      <c r="C24" s="37">
        <f>Control_8 Close_time</f>
        <v>0</v>
      </c>
      <c r="D24" s="52"/>
      <c r="E24" s="39">
        <f>IF(ISBLANK(Control_8 Establishment_1),"",Control_8 Establishment_1)</f>
        <v>0</v>
      </c>
      <c r="F24" s="40"/>
      <c r="G24" s="41"/>
      <c r="H24" s="11" t="s">
        <v>60</v>
      </c>
      <c r="J24" s="57" t="s">
        <v>77</v>
      </c>
      <c r="K24" s="72">
        <f>IF(ISBLANK(Start_date),"",Start_date)</f>
      </c>
      <c r="L24" s="72"/>
      <c r="M24" s="72"/>
      <c r="N24" s="65"/>
      <c r="O24" s="64" t="s">
        <v>78</v>
      </c>
      <c r="P24" s="65"/>
      <c r="Q24" s="68"/>
      <c r="R24" s="68"/>
      <c r="S24" s="68"/>
      <c r="T24" s="73"/>
    </row>
    <row r="25" spans="1:20" ht="36" customHeight="1">
      <c r="A25" s="43">
        <f>IF(ISBLANK(Distance Control_8),"",Control_8 Distance)</f>
      </c>
      <c r="B25" s="44">
        <f>Control_8 Open_time</f>
        <v>0</v>
      </c>
      <c r="C25" s="44">
        <f>Control_8 Close_time</f>
        <v>0</v>
      </c>
      <c r="D25" s="45">
        <f>IF(ISBLANK(Locale Control_8),"",Locale Control_8)</f>
        <v>0</v>
      </c>
      <c r="E25" s="39">
        <f>IF(ISBLANK(Control_8 Establishment_2),"",Control_8 Establishment_2)</f>
        <v>0</v>
      </c>
      <c r="F25" s="40"/>
      <c r="G25" s="41"/>
      <c r="H25" s="11" t="s">
        <v>60</v>
      </c>
      <c r="L25" s="65"/>
      <c r="M25" s="65"/>
      <c r="N25" s="65"/>
      <c r="O25" s="64" t="s">
        <v>79</v>
      </c>
      <c r="P25" s="65"/>
      <c r="Q25" s="68"/>
      <c r="R25" s="68"/>
      <c r="S25" s="68"/>
      <c r="T25" s="73"/>
    </row>
    <row r="26" spans="1:20" ht="36" customHeight="1">
      <c r="A26" s="46"/>
      <c r="B26" s="47">
        <f>Control_8 Open_time</f>
        <v>0</v>
      </c>
      <c r="C26" s="47">
        <f>Control_8 Close_time</f>
        <v>0</v>
      </c>
      <c r="D26" s="48"/>
      <c r="E26" s="49">
        <f>IF(ISBLANK(Control_8 Establishment_3),"",Control_8 Establishment_3)</f>
        <v>0</v>
      </c>
      <c r="F26" s="50"/>
      <c r="G26" s="51"/>
      <c r="H26" s="11" t="s">
        <v>60</v>
      </c>
      <c r="J26" s="73"/>
      <c r="K26" s="73"/>
      <c r="L26" s="68"/>
      <c r="M26" s="68"/>
      <c r="N26" s="65"/>
      <c r="O26" s="64" t="s">
        <v>80</v>
      </c>
      <c r="P26" s="65"/>
      <c r="Q26" s="68"/>
      <c r="R26" s="68"/>
      <c r="S26" s="68"/>
      <c r="T26" s="73"/>
    </row>
    <row r="27" spans="1:19" ht="36" customHeight="1">
      <c r="A27" s="36"/>
      <c r="B27" s="37">
        <f>Control_9 Open_time</f>
        <v>0</v>
      </c>
      <c r="C27" s="37">
        <f>Control_9 Close_time</f>
        <v>0</v>
      </c>
      <c r="D27" s="52"/>
      <c r="E27" s="39">
        <f>IF(ISBLANK(Control_9 Establishment_1),"",Control_9 Establishment_1)</f>
        <v>0</v>
      </c>
      <c r="F27" s="40"/>
      <c r="G27" s="41"/>
      <c r="H27" s="11" t="s">
        <v>60</v>
      </c>
      <c r="J27" s="74" t="s">
        <v>81</v>
      </c>
      <c r="K27" s="74"/>
      <c r="L27" s="74"/>
      <c r="M27" s="74"/>
      <c r="N27" s="65"/>
      <c r="O27" s="65"/>
      <c r="P27" s="65"/>
      <c r="Q27" s="65"/>
      <c r="R27" s="65"/>
      <c r="S27" s="65"/>
    </row>
    <row r="28" spans="1:19" ht="36" customHeight="1">
      <c r="A28" s="43">
        <f>IF(ISBLANK(Distance Control_9),"",Control_9 Distance)</f>
      </c>
      <c r="B28" s="44">
        <f>Control_9 Open_time</f>
        <v>0</v>
      </c>
      <c r="C28" s="44">
        <f>Control_9 Close_time</f>
        <v>0</v>
      </c>
      <c r="D28" s="45">
        <f>IF(ISBLANK(Locale Control_9),"",Locale Control_9)</f>
        <v>0</v>
      </c>
      <c r="E28" s="39">
        <f>IF(ISBLANK(Control_9 Establishment_2),"",Control_9 Establishment_2)</f>
        <v>0</v>
      </c>
      <c r="F28" s="40"/>
      <c r="G28" s="41"/>
      <c r="H28" s="11" t="s">
        <v>60</v>
      </c>
      <c r="L28" s="75" t="s">
        <v>82</v>
      </c>
      <c r="M28" s="75"/>
      <c r="N28" s="75"/>
      <c r="O28" s="75"/>
      <c r="P28" s="75"/>
      <c r="Q28" s="75"/>
      <c r="R28" s="65"/>
      <c r="S28" s="65"/>
    </row>
    <row r="29" spans="1:19" ht="36" customHeight="1">
      <c r="A29" s="46"/>
      <c r="B29" s="47">
        <f>Control_9 Open_time</f>
        <v>0</v>
      </c>
      <c r="C29" s="47">
        <f>Control_9 Close_time</f>
        <v>0</v>
      </c>
      <c r="D29" s="48"/>
      <c r="E29" s="49">
        <f>IF(ISBLANK(Control_9 Establishment_3),"",Control_9 Establishment_3)</f>
        <v>0</v>
      </c>
      <c r="F29" s="50"/>
      <c r="G29" s="51"/>
      <c r="H29" s="11" t="s">
        <v>60</v>
      </c>
      <c r="K29" s="76"/>
      <c r="L29" s="77"/>
      <c r="M29" s="77"/>
      <c r="N29" s="78"/>
      <c r="O29" s="79"/>
      <c r="P29" s="77"/>
      <c r="Q29" s="77"/>
      <c r="R29" s="78"/>
      <c r="S29" s="80" t="s">
        <v>83</v>
      </c>
    </row>
    <row r="30" spans="1:19" ht="36" customHeight="1">
      <c r="A30" s="36"/>
      <c r="B30" s="37">
        <f>Control_10 Open_time</f>
        <v>0</v>
      </c>
      <c r="C30" s="37">
        <f>Control_10 Close_time</f>
        <v>0</v>
      </c>
      <c r="D30" s="52"/>
      <c r="E30" s="39">
        <f>IF(ISBLANK(Control_10 Establishment_1),"",Control_10 Establishment_1)</f>
        <v>0</v>
      </c>
      <c r="F30" s="40"/>
      <c r="G30" s="41"/>
      <c r="H30" s="11" t="s">
        <v>60</v>
      </c>
      <c r="K30" s="81"/>
      <c r="L30" s="82"/>
      <c r="M30" s="82"/>
      <c r="N30" s="83"/>
      <c r="O30" s="84"/>
      <c r="P30" s="82"/>
      <c r="Q30" s="82"/>
      <c r="R30" s="83"/>
      <c r="S30" s="85"/>
    </row>
    <row r="31" spans="1:21" ht="36" customHeight="1">
      <c r="A31" s="43">
        <f>IF(ISBLANK(Distance Control_10),"",Control_10 Distance)</f>
      </c>
      <c r="B31" s="44">
        <f>Control_10 Open_time</f>
        <v>0</v>
      </c>
      <c r="C31" s="44">
        <f>Control_10 Close_time</f>
        <v>0</v>
      </c>
      <c r="D31" s="45">
        <f>IF(ISBLANK(Locale Control_10),"",Locale Control_10)</f>
        <v>0</v>
      </c>
      <c r="E31" s="39">
        <f>IF(ISBLANK(Control_10 Establishment_2),"",Control_10 Establishment_2)</f>
        <v>0</v>
      </c>
      <c r="F31" s="40"/>
      <c r="G31" s="41"/>
      <c r="H31" s="11" t="s">
        <v>60</v>
      </c>
      <c r="K31" s="86"/>
      <c r="L31" s="68"/>
      <c r="M31" s="68"/>
      <c r="N31" s="87"/>
      <c r="O31" s="88"/>
      <c r="P31" s="68"/>
      <c r="Q31" s="68"/>
      <c r="R31" s="87"/>
      <c r="S31" s="65"/>
      <c r="U31" s="89"/>
    </row>
    <row r="32" spans="1:21" ht="36" customHeight="1">
      <c r="A32" s="46"/>
      <c r="B32" s="47">
        <f>Control_10 Open_time</f>
        <v>0</v>
      </c>
      <c r="C32" s="47">
        <f>Control_10 Close_time</f>
        <v>0</v>
      </c>
      <c r="D32" s="48"/>
      <c r="E32" s="49">
        <f>IF(ISBLANK(Control_10 Establishment_3),"",Control_10 Establishment_3)</f>
        <v>0</v>
      </c>
      <c r="F32" s="50"/>
      <c r="G32" s="51"/>
      <c r="H32" s="11" t="s">
        <v>60</v>
      </c>
      <c r="L32" s="64" t="s">
        <v>84</v>
      </c>
      <c r="M32" s="65"/>
      <c r="N32" s="62" t="str">
        <f>IF(ISBLANK(Brevet_Number),"",Brevet_Number)</f>
        <v>VI0607A</v>
      </c>
      <c r="O32" s="62"/>
      <c r="P32" s="62"/>
      <c r="Q32" s="65"/>
      <c r="R32" s="65"/>
      <c r="S32" s="65"/>
      <c r="U32" s="89"/>
    </row>
    <row r="33" ht="9" customHeight="1">
      <c r="A33"/>
    </row>
    <row r="34" spans="1:14" ht="36" customHeight="1">
      <c r="A34" s="90"/>
      <c r="B34" s="91">
        <f>Control_11 Open_time</f>
        <v>0.8194444444444444</v>
      </c>
      <c r="C34" s="91">
        <f>Control_11 Close_time</f>
        <v>1.488888888888889</v>
      </c>
      <c r="D34" s="92"/>
      <c r="E34" s="93">
        <f>IF(ISBLANK(Control_11 Establishment_1),"",Control_11 Establishment_1)</f>
        <v>0</v>
      </c>
      <c r="F34" s="94"/>
      <c r="G34" s="95"/>
      <c r="H34" s="11" t="s">
        <v>60</v>
      </c>
      <c r="K34" s="42"/>
      <c r="N34" s="35"/>
    </row>
    <row r="35" spans="1:14" ht="36" customHeight="1">
      <c r="A35" s="43">
        <f>IF(ISBLANK(Distance Control_11),"",Control_11 Distance)</f>
        <v>446.00000000000045</v>
      </c>
      <c r="B35" s="44">
        <f>Control_11 Open_time</f>
        <v>0.8194444444444444</v>
      </c>
      <c r="C35" s="44">
        <f>Control_11 Close_time</f>
        <v>1.488888888888889</v>
      </c>
      <c r="D35" s="45">
        <f>IF(ISBLANK(Locale Control_11),"",Locale Control_11)</f>
        <v>0</v>
      </c>
      <c r="E35" s="39">
        <f>IF(ISBLANK(Control_11 Establishment_2),"",Control_11 Establishment_2)</f>
        <v>0</v>
      </c>
      <c r="F35" s="40"/>
      <c r="G35" s="41"/>
      <c r="H35" s="11" t="s">
        <v>60</v>
      </c>
      <c r="K35" s="42"/>
      <c r="N35" s="35"/>
    </row>
    <row r="36" spans="1:11" ht="36" customHeight="1">
      <c r="A36" s="46"/>
      <c r="B36" s="47">
        <f>Control_11 Open_time</f>
        <v>0.8194444444444444</v>
      </c>
      <c r="C36" s="47">
        <f>Control_11 Close_time</f>
        <v>1.488888888888889</v>
      </c>
      <c r="D36" s="48"/>
      <c r="E36" s="49">
        <f>IF(ISBLANK(Control_11 Establishment_3),"",Control_11 Establishment_3)</f>
        <v>0</v>
      </c>
      <c r="F36" s="50"/>
      <c r="G36" s="51"/>
      <c r="H36" s="11" t="s">
        <v>60</v>
      </c>
      <c r="K36" s="42"/>
    </row>
    <row r="37" spans="1:11" ht="36" customHeight="1">
      <c r="A37" s="36"/>
      <c r="B37" s="37">
        <f>Control_12 Open_time</f>
        <v>0.8833333333333333</v>
      </c>
      <c r="C37" s="37">
        <f>Control_12 Close_time</f>
        <v>1.6166666666666667</v>
      </c>
      <c r="D37" s="52"/>
      <c r="E37" s="39">
        <f>IF(ISBLANK(Control_12 Establishment_1),"",Control_12 Establishment_1)</f>
        <v>0</v>
      </c>
      <c r="F37" s="40"/>
      <c r="G37" s="41"/>
      <c r="H37" s="11" t="s">
        <v>60</v>
      </c>
      <c r="K37" s="42"/>
    </row>
    <row r="38" spans="1:11" ht="36" customHeight="1">
      <c r="A38" s="43">
        <f>IF(ISBLANK(Distance Control_12),"",Control_12 Distance)</f>
        <v>492.0000000000006</v>
      </c>
      <c r="B38" s="44">
        <f>Control_12 Open_time</f>
        <v>0.8833333333333333</v>
      </c>
      <c r="C38" s="44">
        <f>Control_12 Close_time</f>
        <v>1.6166666666666667</v>
      </c>
      <c r="D38" s="45">
        <f>IF(ISBLANK(Locale Control_12),"",Locale Control_12)</f>
        <v>0</v>
      </c>
      <c r="E38" s="39">
        <f>IF(ISBLANK(Control_12 Establishment_2),"",Control_12 Establishment_2)</f>
        <v>0</v>
      </c>
      <c r="F38" s="40"/>
      <c r="G38" s="41"/>
      <c r="H38" s="11" t="s">
        <v>60</v>
      </c>
      <c r="K38" s="42"/>
    </row>
    <row r="39" spans="1:20" ht="36" customHeight="1">
      <c r="A39" s="46"/>
      <c r="B39" s="47">
        <f>Control_12 Open_time</f>
        <v>0.8833333333333333</v>
      </c>
      <c r="C39" s="47">
        <f>Control_12 Close_time</f>
        <v>1.6166666666666667</v>
      </c>
      <c r="D39" s="48"/>
      <c r="E39" s="49">
        <f>IF(ISBLANK(Control_12 Establishment_3),"",Control_12 Establishment_3)</f>
        <v>0</v>
      </c>
      <c r="F39" s="50"/>
      <c r="G39" s="51"/>
      <c r="H39" s="11" t="s">
        <v>60</v>
      </c>
      <c r="J39" s="53" t="s">
        <v>85</v>
      </c>
      <c r="K39" s="53"/>
      <c r="L39" s="53"/>
      <c r="M39" s="53"/>
      <c r="N39" s="53"/>
      <c r="O39" s="53"/>
      <c r="P39" s="53"/>
      <c r="Q39" s="53"/>
      <c r="R39" s="53"/>
      <c r="S39" s="53"/>
      <c r="T39" s="53"/>
    </row>
    <row r="40" spans="1:19" ht="36" customHeight="1">
      <c r="A40" s="36"/>
      <c r="B40" s="37">
        <f>Control_13 Open_time</f>
        <v>0.9152777777777777</v>
      </c>
      <c r="C40" s="37">
        <f>Control_13 Close_time</f>
        <v>1.6805555555555556</v>
      </c>
      <c r="D40" s="52"/>
      <c r="E40" s="39">
        <f>IF(ISBLANK(Control_13 Establishment_1),"",Control_13 Establishment_1)</f>
        <v>0</v>
      </c>
      <c r="F40" s="40"/>
      <c r="G40" s="41"/>
      <c r="H40" s="11" t="s">
        <v>60</v>
      </c>
      <c r="J40" s="54">
        <f>IF(ISBLANK(brevet),"",brevet&amp;" km Randonnée")</f>
        <v>0</v>
      </c>
      <c r="K40" s="54"/>
      <c r="L40" s="54"/>
      <c r="M40" s="54"/>
      <c r="N40" s="54"/>
      <c r="O40" s="54"/>
      <c r="P40" s="54"/>
      <c r="Q40" s="54"/>
      <c r="R40" s="54"/>
      <c r="S40" s="54"/>
    </row>
    <row r="41" spans="1:20" ht="36" customHeight="1">
      <c r="A41" s="43">
        <f>IF(ISBLANK(Distance Control_13),"",Control_13 Distance)</f>
        <v>515.1000000000007</v>
      </c>
      <c r="B41" s="44">
        <f>Control_13 Open_time</f>
        <v>0.9152777777777777</v>
      </c>
      <c r="C41" s="44">
        <f>Control_13 Close_time</f>
        <v>1.6805555555555556</v>
      </c>
      <c r="D41" s="45">
        <f>IF(ISBLANK(Locale Control_13),"",Locale Control_13)</f>
        <v>0</v>
      </c>
      <c r="E41" s="39">
        <f>IF(ISBLANK(Control_13 Establishment_2),"",Control_13 Establishment_2)</f>
        <v>0</v>
      </c>
      <c r="F41" s="40"/>
      <c r="G41" s="41"/>
      <c r="H41" s="11" t="s">
        <v>60</v>
      </c>
      <c r="J41" s="55">
        <f>IF(ISBLANK(Brevet_Description),"",Brevet_Description)</f>
        <v>0</v>
      </c>
      <c r="K41" s="55"/>
      <c r="L41" s="55"/>
      <c r="M41" s="55"/>
      <c r="N41" s="55"/>
      <c r="O41" s="55"/>
      <c r="P41" s="55"/>
      <c r="Q41" s="55"/>
      <c r="R41" s="55"/>
      <c r="S41" s="55"/>
      <c r="T41" s="55"/>
    </row>
    <row r="42" spans="1:20" ht="36" customHeight="1">
      <c r="A42" s="46"/>
      <c r="B42" s="47">
        <f>Control_13 Open_time</f>
        <v>0.9152777777777777</v>
      </c>
      <c r="C42" s="47">
        <f>Control_13 Close_time</f>
        <v>1.6805555555555556</v>
      </c>
      <c r="D42" s="48"/>
      <c r="E42" s="49">
        <f>IF(ISBLANK(Control_13 Establishment_3),"",Control_13 Establishment_3)</f>
        <v>0</v>
      </c>
      <c r="F42" s="50"/>
      <c r="G42" s="51"/>
      <c r="H42" s="11" t="s">
        <v>60</v>
      </c>
      <c r="K42" s="56"/>
      <c r="L42" s="56"/>
      <c r="M42" s="56"/>
      <c r="N42" s="56"/>
      <c r="O42" s="56"/>
      <c r="P42" s="56"/>
      <c r="Q42" s="56"/>
      <c r="R42" s="56"/>
      <c r="S42" s="56"/>
      <c r="T42" s="56"/>
    </row>
    <row r="43" spans="1:20" ht="36" customHeight="1">
      <c r="A43" s="36"/>
      <c r="B43" s="37">
        <f>Control_14 Open_time</f>
        <v>1.0402777777777779</v>
      </c>
      <c r="C43" s="37">
        <f>Control_14 Close_time</f>
        <v>1.9166666666666667</v>
      </c>
      <c r="D43" s="52"/>
      <c r="E43" s="39">
        <f>IF(ISBLANK(Control_14 Establishment_1),"",Control_14 Establishment_1)</f>
        <v>0</v>
      </c>
      <c r="F43" s="40"/>
      <c r="G43" s="41"/>
      <c r="H43" s="11" t="s">
        <v>60</v>
      </c>
      <c r="J43" s="57" t="s">
        <v>66</v>
      </c>
      <c r="L43" s="58" t="str">
        <f>IF(ISBLANK(surname),"",First_Name&amp;" "&amp;Initial&amp;" "&amp;surname)</f>
        <v>  </v>
      </c>
      <c r="M43" s="59"/>
      <c r="N43" s="59"/>
      <c r="O43" s="59"/>
      <c r="P43" s="59"/>
      <c r="Q43" s="59"/>
      <c r="R43" s="59"/>
      <c r="S43" s="59"/>
      <c r="T43" s="60"/>
    </row>
    <row r="44" spans="1:20" ht="36" customHeight="1">
      <c r="A44" s="43">
        <f>IF(ISBLANK(Distance Control_14),"",Control_14 Distance)</f>
        <v>604.8000000000008</v>
      </c>
      <c r="B44" s="44">
        <f>Control_14 Open_time</f>
        <v>1.0402777777777779</v>
      </c>
      <c r="C44" s="44">
        <f>Control_14 Close_time</f>
        <v>1.9166666666666667</v>
      </c>
      <c r="D44" s="45">
        <f>IF(ISBLANK(Locale Control_14),"",Locale Control_14)</f>
        <v>0</v>
      </c>
      <c r="E44" s="39">
        <f>IF(ISBLANK(Control_14 Establishment_2),"",Control_14 Establishment_2)</f>
        <v>0</v>
      </c>
      <c r="F44" s="40"/>
      <c r="G44" s="41"/>
      <c r="H44" s="11" t="s">
        <v>60</v>
      </c>
      <c r="J44" s="57" t="s">
        <v>67</v>
      </c>
      <c r="K44" s="57"/>
      <c r="L44" s="61">
        <f>IF(ISBLANK(Address_1),"",Address_1)</f>
      </c>
      <c r="M44" s="62"/>
      <c r="N44" s="62"/>
      <c r="O44" s="62"/>
      <c r="P44" s="62"/>
      <c r="Q44" s="62"/>
      <c r="R44" s="62"/>
      <c r="S44" s="62"/>
      <c r="T44" s="63"/>
    </row>
    <row r="45" spans="1:20" ht="36" customHeight="1">
      <c r="A45" s="46"/>
      <c r="B45" s="47">
        <f>Control_14 Open_time</f>
        <v>1.0402777777777779</v>
      </c>
      <c r="C45" s="47">
        <f>Control_14 Close_time</f>
        <v>1.9166666666666667</v>
      </c>
      <c r="D45" s="48"/>
      <c r="E45" s="49">
        <f>IF(ISBLANK(Control_14 Establishment_3),"",Control_14 Establishment_3)</f>
        <v>0</v>
      </c>
      <c r="F45" s="50"/>
      <c r="G45" s="51"/>
      <c r="H45" s="11" t="s">
        <v>60</v>
      </c>
      <c r="J45" s="57"/>
      <c r="K45" s="57"/>
      <c r="L45" s="61">
        <f>IF(ISBLANK(Address_2),"",Address_2)</f>
      </c>
      <c r="M45" s="62"/>
      <c r="N45" s="62"/>
      <c r="O45" s="62"/>
      <c r="P45" s="62"/>
      <c r="Q45" s="62"/>
      <c r="R45" s="62"/>
      <c r="S45" s="62"/>
      <c r="T45" s="63"/>
    </row>
    <row r="46" spans="1:20" ht="36" customHeight="1">
      <c r="A46" s="36"/>
      <c r="B46" s="37">
        <f>Control_15 Open_time</f>
        <v>0</v>
      </c>
      <c r="C46" s="37">
        <f>Control_15 Close_time</f>
        <v>0</v>
      </c>
      <c r="D46" s="52"/>
      <c r="E46" s="39">
        <f>IF(ISBLANK(Control_15 Establishment_1),"",Control_15 Establishment_1)</f>
        <v>0</v>
      </c>
      <c r="F46" s="40"/>
      <c r="G46" s="41"/>
      <c r="H46" s="11" t="s">
        <v>60</v>
      </c>
      <c r="J46" s="57" t="s">
        <v>68</v>
      </c>
      <c r="K46" s="57"/>
      <c r="L46" s="61">
        <f>IF(ISBLANK(City),"",City)</f>
      </c>
      <c r="M46" s="62"/>
      <c r="N46" s="62"/>
      <c r="O46" s="64"/>
      <c r="P46" s="64" t="s">
        <v>69</v>
      </c>
      <c r="Q46" s="64"/>
      <c r="R46" s="64"/>
      <c r="S46" s="61">
        <f>IF(ISBLANK(Province_State),"",Province_State)</f>
      </c>
      <c r="T46" s="63"/>
    </row>
    <row r="47" spans="1:20" ht="36" customHeight="1">
      <c r="A47" s="43">
        <f>IF(ISBLANK(Distance Control_15),"",Control_15 Distance)</f>
      </c>
      <c r="B47" s="44">
        <f>Control_15 Open_time</f>
        <v>0</v>
      </c>
      <c r="C47" s="44">
        <f>Control_15 Close_time</f>
        <v>0</v>
      </c>
      <c r="D47" s="45">
        <f>IF(ISBLANK(Locale Control_15),"",Locale Control_15)</f>
        <v>0</v>
      </c>
      <c r="E47" s="39">
        <f>IF(ISBLANK(Control_15 Establishment_2),"",Control_15 Establishment_2)</f>
        <v>0</v>
      </c>
      <c r="F47" s="40"/>
      <c r="G47" s="41"/>
      <c r="H47" s="11" t="s">
        <v>60</v>
      </c>
      <c r="J47" s="57" t="s">
        <v>70</v>
      </c>
      <c r="K47" s="57"/>
      <c r="L47" s="61">
        <f>IF(ISBLANK(Country),"",Country)</f>
      </c>
      <c r="M47" s="62"/>
      <c r="N47" s="62"/>
      <c r="O47" s="64"/>
      <c r="P47" s="64" t="s">
        <v>71</v>
      </c>
      <c r="Q47" s="64"/>
      <c r="R47" s="64"/>
      <c r="S47" s="61">
        <f>IF(ISBLANK(Postal_Code),"",Postal_Code)</f>
      </c>
      <c r="T47" s="63"/>
    </row>
    <row r="48" spans="1:19" ht="36" customHeight="1">
      <c r="A48" s="46"/>
      <c r="B48" s="47">
        <f>Control_15 Open_time</f>
        <v>0</v>
      </c>
      <c r="C48" s="47">
        <f>Control_15 Close_time</f>
        <v>0</v>
      </c>
      <c r="D48" s="48"/>
      <c r="E48" s="49">
        <f>IF(ISBLANK(Control_15 Establishment_3),"",Control_15 Establishment_3)</f>
        <v>0</v>
      </c>
      <c r="F48" s="50"/>
      <c r="G48" s="51"/>
      <c r="H48" s="11" t="s">
        <v>60</v>
      </c>
      <c r="L48" s="65"/>
      <c r="M48" s="65"/>
      <c r="N48" s="65"/>
      <c r="O48" s="65"/>
      <c r="P48" s="65"/>
      <c r="Q48" s="65"/>
      <c r="R48" s="65"/>
      <c r="S48" s="65"/>
    </row>
    <row r="49" spans="1:20" ht="36" customHeight="1">
      <c r="A49" s="36"/>
      <c r="B49" s="37">
        <f>Control_16 Open_time</f>
        <v>0</v>
      </c>
      <c r="C49" s="37">
        <f>Control_16 Close_time</f>
        <v>0</v>
      </c>
      <c r="D49" s="52"/>
      <c r="E49" s="39">
        <f>IF(ISBLANK(Control_16 Establishment_1),"",Control_16 Establishment_1)</f>
        <v>0</v>
      </c>
      <c r="F49" s="40"/>
      <c r="G49" s="41"/>
      <c r="H49" s="11" t="s">
        <v>60</v>
      </c>
      <c r="J49" s="57" t="s">
        <v>72</v>
      </c>
      <c r="L49" s="66">
        <f>IF(ISBLANK(Home_telephone),"",Home_telephone)</f>
      </c>
      <c r="M49" s="66"/>
      <c r="N49" s="66"/>
      <c r="O49" s="65"/>
      <c r="P49" s="64" t="s">
        <v>73</v>
      </c>
      <c r="Q49" s="67">
        <f>IF(ISBLANK(email),"",email)</f>
      </c>
      <c r="R49" s="68"/>
      <c r="S49" s="68"/>
      <c r="T49" s="69"/>
    </row>
    <row r="50" spans="1:19" ht="36" customHeight="1">
      <c r="A50" s="43">
        <f>IF(ISBLANK(Distance Control_16),"",Control_16 Distance)</f>
      </c>
      <c r="B50" s="44">
        <f>Control_16 Open_time</f>
        <v>0</v>
      </c>
      <c r="C50" s="44">
        <f>Control_16 Close_time</f>
        <v>0</v>
      </c>
      <c r="D50" s="45">
        <f>IF(ISBLANK(Locale Control_16),"",Locale Control_16)</f>
        <v>0</v>
      </c>
      <c r="E50" s="39">
        <f>IF(ISBLANK(Control_16 Establishment_2),"",Control_16 Establishment_2)</f>
        <v>0</v>
      </c>
      <c r="F50" s="40"/>
      <c r="G50" s="41"/>
      <c r="H50" s="11" t="s">
        <v>60</v>
      </c>
      <c r="L50" s="65"/>
      <c r="M50" s="65"/>
      <c r="N50" s="65"/>
      <c r="O50" s="65"/>
      <c r="P50" s="65"/>
      <c r="Q50" s="65"/>
      <c r="R50" s="65"/>
      <c r="S50" s="65"/>
    </row>
    <row r="51" spans="1:20" ht="36" customHeight="1">
      <c r="A51" s="46"/>
      <c r="B51" s="47">
        <f>Control_16 Open_time</f>
        <v>0</v>
      </c>
      <c r="C51" s="47">
        <f>Control_16 Close_time</f>
        <v>0</v>
      </c>
      <c r="D51" s="48"/>
      <c r="E51" s="49">
        <f>IF(ISBLANK(Control_16 Establishment_3),"",Control_16 Establishment_3)</f>
        <v>0</v>
      </c>
      <c r="F51" s="50"/>
      <c r="G51" s="51"/>
      <c r="H51" s="11" t="s">
        <v>60</v>
      </c>
      <c r="J51" s="70" t="s">
        <v>74</v>
      </c>
      <c r="K51" s="70"/>
      <c r="L51" s="70"/>
      <c r="M51" s="70"/>
      <c r="N51" s="70"/>
      <c r="O51" s="70"/>
      <c r="P51" s="70"/>
      <c r="Q51" s="70"/>
      <c r="R51" s="70"/>
      <c r="S51" s="70"/>
      <c r="T51" s="70"/>
    </row>
    <row r="52" spans="1:20" ht="36" customHeight="1">
      <c r="A52" s="36"/>
      <c r="B52" s="37">
        <f>Control_17 Open_time</f>
        <v>0</v>
      </c>
      <c r="C52" s="37">
        <f>Control_17 Close_time</f>
        <v>0</v>
      </c>
      <c r="D52" s="52"/>
      <c r="E52" s="39">
        <f>IF(ISBLANK(Control_17 Establishment_1),"",Control_17 Establishment_1)</f>
        <v>0</v>
      </c>
      <c r="F52" s="40"/>
      <c r="G52" s="41"/>
      <c r="H52" s="11" t="s">
        <v>60</v>
      </c>
      <c r="J52" s="70" t="s">
        <v>75</v>
      </c>
      <c r="K52" s="70"/>
      <c r="L52" s="70"/>
      <c r="M52" s="70"/>
      <c r="N52" s="70"/>
      <c r="O52" s="70"/>
      <c r="P52" s="70"/>
      <c r="Q52" s="70"/>
      <c r="R52" s="70"/>
      <c r="S52" s="70"/>
      <c r="T52" s="70"/>
    </row>
    <row r="53" spans="1:19" ht="36" customHeight="1">
      <c r="A53" s="43">
        <f>IF(ISBLANK(Distance Control_17),"",Control_17 Distance)</f>
      </c>
      <c r="B53" s="44">
        <f>Control_17 Open_time</f>
        <v>0</v>
      </c>
      <c r="C53" s="44">
        <f>Control_17 Close_time</f>
        <v>0</v>
      </c>
      <c r="D53" s="45">
        <f>IF(ISBLANK(Locale Control_17),"",Locale Control_17)</f>
        <v>0</v>
      </c>
      <c r="E53" s="39">
        <f>IF(ISBLANK(Control_17 Establishment_2),"",Control_17 Establishment_2)</f>
        <v>0</v>
      </c>
      <c r="F53" s="40"/>
      <c r="G53" s="41"/>
      <c r="H53" s="11" t="s">
        <v>60</v>
      </c>
      <c r="L53" s="65"/>
      <c r="M53" s="65"/>
      <c r="N53" s="65"/>
      <c r="O53" s="65"/>
      <c r="P53" s="65"/>
      <c r="Q53" s="65"/>
      <c r="R53" s="65"/>
      <c r="S53" s="65"/>
    </row>
    <row r="54" spans="1:20" ht="36" customHeight="1">
      <c r="A54" s="46"/>
      <c r="B54" s="47">
        <f>Control_17 Open_time</f>
        <v>0</v>
      </c>
      <c r="C54" s="47">
        <f>Control_17 Close_time</f>
        <v>0</v>
      </c>
      <c r="D54" s="48"/>
      <c r="E54" s="49">
        <f>IF(ISBLANK(Control_17 Establishment_3),"",Control_17 Establishment_3)</f>
        <v>0</v>
      </c>
      <c r="F54" s="50"/>
      <c r="G54" s="51"/>
      <c r="H54" s="11" t="s">
        <v>60</v>
      </c>
      <c r="J54" s="71" t="s">
        <v>76</v>
      </c>
      <c r="K54" s="71"/>
      <c r="L54" s="71"/>
      <c r="M54" s="71"/>
      <c r="N54" s="71"/>
      <c r="O54" s="71"/>
      <c r="P54" s="71"/>
      <c r="Q54" s="71"/>
      <c r="R54" s="71"/>
      <c r="S54" s="71"/>
      <c r="T54" s="71"/>
    </row>
    <row r="55" spans="1:20" ht="36" customHeight="1">
      <c r="A55" s="36"/>
      <c r="B55" s="37">
        <f>Control_18 Open_time</f>
        <v>0</v>
      </c>
      <c r="C55" s="37">
        <f>Control_18 Close_time</f>
        <v>0</v>
      </c>
      <c r="D55" s="52"/>
      <c r="E55" s="39">
        <f>IF(ISBLANK(Control_18 Establishment_1),"",Control_18 Establishment_1)</f>
        <v>0</v>
      </c>
      <c r="F55" s="40"/>
      <c r="G55" s="41"/>
      <c r="H55" s="11" t="s">
        <v>60</v>
      </c>
      <c r="J55" s="57" t="s">
        <v>77</v>
      </c>
      <c r="K55" s="72">
        <f>IF(ISBLANK(Start_date),"",Start_date)</f>
      </c>
      <c r="L55" s="72"/>
      <c r="M55" s="72"/>
      <c r="N55" s="65"/>
      <c r="O55" s="64" t="s">
        <v>78</v>
      </c>
      <c r="P55" s="65"/>
      <c r="Q55" s="68"/>
      <c r="R55" s="68"/>
      <c r="S55" s="68"/>
      <c r="T55" s="73"/>
    </row>
    <row r="56" spans="1:20" ht="36" customHeight="1">
      <c r="A56" s="43">
        <f>IF(ISBLANK(Distance Control_18),"",Control_18 Distance)</f>
      </c>
      <c r="B56" s="44">
        <f>Control_18 Open_time</f>
        <v>0</v>
      </c>
      <c r="C56" s="44">
        <f>Control_18 Close_time</f>
        <v>0</v>
      </c>
      <c r="D56" s="45">
        <f>IF(ISBLANK(Locale Control_18),"",Locale Control_18)</f>
        <v>0</v>
      </c>
      <c r="E56" s="39">
        <f>IF(ISBLANK(Control_18 Establishment_2),"",Control_18 Establishment_2)</f>
        <v>0</v>
      </c>
      <c r="F56" s="40"/>
      <c r="G56" s="41"/>
      <c r="H56" s="11" t="s">
        <v>60</v>
      </c>
      <c r="L56" s="65"/>
      <c r="M56" s="65"/>
      <c r="N56" s="65"/>
      <c r="O56" s="64" t="s">
        <v>79</v>
      </c>
      <c r="P56" s="65"/>
      <c r="Q56" s="68"/>
      <c r="R56" s="68"/>
      <c r="S56" s="68"/>
      <c r="T56" s="73"/>
    </row>
    <row r="57" spans="1:20" ht="36" customHeight="1">
      <c r="A57" s="46"/>
      <c r="B57" s="47">
        <f>Control_18 Open_time</f>
        <v>0</v>
      </c>
      <c r="C57" s="47">
        <f>Control_18 Close_time</f>
        <v>0</v>
      </c>
      <c r="D57" s="48"/>
      <c r="E57" s="49">
        <f>IF(ISBLANK(Control_18 Establishment_3),"",Control_18 Establishment_3)</f>
        <v>0</v>
      </c>
      <c r="F57" s="50"/>
      <c r="G57" s="51"/>
      <c r="H57" s="11" t="s">
        <v>60</v>
      </c>
      <c r="J57" s="73"/>
      <c r="K57" s="73"/>
      <c r="L57" s="68"/>
      <c r="M57" s="68"/>
      <c r="N57" s="65"/>
      <c r="O57" s="64" t="s">
        <v>80</v>
      </c>
      <c r="P57" s="65"/>
      <c r="Q57" s="68"/>
      <c r="R57" s="68"/>
      <c r="S57" s="68"/>
      <c r="T57" s="73"/>
    </row>
    <row r="58" spans="1:19" ht="36" customHeight="1">
      <c r="A58" s="36"/>
      <c r="B58" s="37">
        <f>Control_19 Open_time</f>
        <v>0</v>
      </c>
      <c r="C58" s="37">
        <f>Control_19 Close_time</f>
        <v>0</v>
      </c>
      <c r="D58" s="52"/>
      <c r="E58" s="39">
        <f>IF(ISBLANK(Control_19 Establishment_1),"",Control_19 Establishment_1)</f>
        <v>0</v>
      </c>
      <c r="F58" s="40"/>
      <c r="G58" s="41"/>
      <c r="H58" s="11" t="s">
        <v>60</v>
      </c>
      <c r="J58" s="74" t="s">
        <v>81</v>
      </c>
      <c r="K58" s="74"/>
      <c r="L58" s="74"/>
      <c r="M58" s="74"/>
      <c r="N58" s="65"/>
      <c r="O58" s="65"/>
      <c r="P58" s="65"/>
      <c r="Q58" s="65"/>
      <c r="R58" s="65"/>
      <c r="S58" s="65"/>
    </row>
    <row r="59" spans="1:19" ht="36" customHeight="1">
      <c r="A59" s="43">
        <f>IF(ISBLANK(Distance Control_19),"",Control_19 Distance)</f>
      </c>
      <c r="B59" s="44">
        <f>Control_19 Open_time</f>
        <v>0</v>
      </c>
      <c r="C59" s="44">
        <f>Control_19 Close_time</f>
        <v>0</v>
      </c>
      <c r="D59" s="45">
        <f>IF(ISBLANK(Locale Control_19),"",Locale Control_19)</f>
        <v>0</v>
      </c>
      <c r="E59" s="39">
        <f>IF(ISBLANK(Control_19 Establishment_2),"",Control_19 Establishment_2)</f>
        <v>0</v>
      </c>
      <c r="F59" s="40"/>
      <c r="G59" s="41"/>
      <c r="H59" s="11" t="s">
        <v>60</v>
      </c>
      <c r="L59" s="75" t="s">
        <v>82</v>
      </c>
      <c r="M59" s="75"/>
      <c r="N59" s="75"/>
      <c r="O59" s="75"/>
      <c r="P59" s="75"/>
      <c r="Q59" s="75"/>
      <c r="R59" s="65"/>
      <c r="S59" s="65"/>
    </row>
    <row r="60" spans="1:19" ht="36" customHeight="1">
      <c r="A60" s="46"/>
      <c r="B60" s="47">
        <f>Control_19 Open_time</f>
        <v>0</v>
      </c>
      <c r="C60" s="47">
        <f>Control_19 Close_time</f>
        <v>0</v>
      </c>
      <c r="D60" s="48"/>
      <c r="E60" s="49">
        <f>IF(ISBLANK(Control_19 Establishment_3),"",Control_19 Establishment_3)</f>
        <v>0</v>
      </c>
      <c r="F60" s="50"/>
      <c r="G60" s="51"/>
      <c r="H60" s="11" t="s">
        <v>60</v>
      </c>
      <c r="K60" s="76"/>
      <c r="L60" s="77"/>
      <c r="M60" s="77"/>
      <c r="N60" s="78"/>
      <c r="O60" s="79"/>
      <c r="P60" s="77"/>
      <c r="Q60" s="77"/>
      <c r="R60" s="78"/>
      <c r="S60" s="80" t="s">
        <v>83</v>
      </c>
    </row>
    <row r="61" spans="1:19" ht="36" customHeight="1">
      <c r="A61" s="36"/>
      <c r="B61" s="37">
        <f>Control_20 Open_time</f>
        <v>0</v>
      </c>
      <c r="C61" s="37">
        <f>Control_20 Close_time</f>
        <v>0</v>
      </c>
      <c r="D61" s="52"/>
      <c r="E61" s="39">
        <f>IF(ISBLANK(Control_20 Establishment_1),"",Control_20 Establishment_1)</f>
        <v>0</v>
      </c>
      <c r="F61" s="40"/>
      <c r="G61" s="41"/>
      <c r="H61" s="11" t="s">
        <v>60</v>
      </c>
      <c r="K61" s="81"/>
      <c r="L61" s="82"/>
      <c r="M61" s="82"/>
      <c r="N61" s="83"/>
      <c r="O61" s="84"/>
      <c r="P61" s="82"/>
      <c r="Q61" s="82"/>
      <c r="R61" s="83"/>
      <c r="S61" s="85"/>
    </row>
    <row r="62" spans="1:21" ht="36" customHeight="1">
      <c r="A62" s="43">
        <f>IF(ISBLANK(Distance Control_20),"",Control_20 Distance)</f>
      </c>
      <c r="B62" s="44">
        <f>Control_20 Open_time</f>
        <v>0</v>
      </c>
      <c r="C62" s="44">
        <f>Control_20 Close_time</f>
        <v>0</v>
      </c>
      <c r="D62" s="45">
        <f>IF(ISBLANK(Locale Control_20),"",Locale Control_20)</f>
        <v>0</v>
      </c>
      <c r="E62" s="39">
        <f>IF(ISBLANK(Control_20 Establishment_2),"",Control_20 Establishment_2)</f>
        <v>0</v>
      </c>
      <c r="F62" s="40"/>
      <c r="G62" s="41"/>
      <c r="H62" s="11" t="s">
        <v>60</v>
      </c>
      <c r="K62" s="86"/>
      <c r="L62" s="68"/>
      <c r="M62" s="68"/>
      <c r="N62" s="87"/>
      <c r="O62" s="88"/>
      <c r="P62" s="68"/>
      <c r="Q62" s="68"/>
      <c r="R62" s="87"/>
      <c r="S62" s="65"/>
      <c r="U62" s="89"/>
    </row>
    <row r="63" spans="1:21" ht="36" customHeight="1">
      <c r="A63" s="46"/>
      <c r="B63" s="47">
        <f>Control_20 Open_time</f>
        <v>0</v>
      </c>
      <c r="C63" s="47">
        <f>Control_20 Close_time</f>
        <v>0</v>
      </c>
      <c r="D63" s="48"/>
      <c r="E63" s="49">
        <f>IF(ISBLANK(Control_20 Establishment_3),"",Control_20 Establishment_3)</f>
        <v>0</v>
      </c>
      <c r="F63" s="50"/>
      <c r="G63" s="51"/>
      <c r="H63" s="11" t="s">
        <v>60</v>
      </c>
      <c r="L63" s="64" t="s">
        <v>84</v>
      </c>
      <c r="M63" s="65"/>
      <c r="N63" s="62" t="str">
        <f>IF(ISBLANK(Brevet_Number),"",Brevet_Number)</f>
        <v>VI0607A</v>
      </c>
      <c r="O63" s="62"/>
      <c r="P63" s="62"/>
      <c r="Q63" s="65"/>
      <c r="R63" s="65"/>
      <c r="S63" s="65"/>
      <c r="U63" s="89"/>
    </row>
    <row r="64" ht="12.75">
      <c r="A64"/>
    </row>
  </sheetData>
  <sheetProtection selectLockedCells="1" selectUnlockedCells="1"/>
  <mergeCells count="21">
    <mergeCell ref="A1:G1"/>
    <mergeCell ref="J8:T8"/>
    <mergeCell ref="J9:S9"/>
    <mergeCell ref="J10:T10"/>
    <mergeCell ref="L18:N18"/>
    <mergeCell ref="J20:T20"/>
    <mergeCell ref="J21:T21"/>
    <mergeCell ref="J23:T23"/>
    <mergeCell ref="K24:M24"/>
    <mergeCell ref="J27:M27"/>
    <mergeCell ref="L28:Q28"/>
    <mergeCell ref="J39:T39"/>
    <mergeCell ref="J40:S40"/>
    <mergeCell ref="J41:T41"/>
    <mergeCell ref="L49:N49"/>
    <mergeCell ref="J51:T51"/>
    <mergeCell ref="J52:T52"/>
    <mergeCell ref="J54:T54"/>
    <mergeCell ref="K55:M55"/>
    <mergeCell ref="J58:M58"/>
    <mergeCell ref="L59:Q59"/>
  </mergeCells>
  <printOptions/>
  <pageMargins left="0.19652777777777777" right="0.19652777777777777" top="0.19652777777777777" bottom="0.19652777777777777" header="0.5118055555555555" footer="0.5118055555555555"/>
  <pageSetup horizontalDpi="300" verticalDpi="300" orientation="landscape" scale="50"/>
  <rowBreaks count="1" manualBreakCount="1">
    <brk id="33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8"/>
  <sheetViews>
    <sheetView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4" sqref="A4"/>
    </sheetView>
  </sheetViews>
  <sheetFormatPr defaultColWidth="9.140625" defaultRowHeight="12.75"/>
  <cols>
    <col min="1" max="1" width="3.00390625" style="0" customWidth="1"/>
    <col min="2" max="2" width="14.57421875" style="0" customWidth="1"/>
    <col min="3" max="3" width="15.00390625" style="0" customWidth="1"/>
    <col min="4" max="4" width="6.140625" style="0" customWidth="1"/>
    <col min="5" max="6" width="30.7109375" style="0" customWidth="1"/>
    <col min="7" max="7" width="15.7109375" style="0" customWidth="1"/>
    <col min="9" max="9" width="8.00390625" style="0" customWidth="1"/>
    <col min="10" max="10" width="11.8515625" style="0" customWidth="1"/>
    <col min="11" max="11" width="16.00390625" style="0" customWidth="1"/>
    <col min="12" max="12" width="15.57421875" style="0" customWidth="1"/>
    <col min="13" max="13" width="13.28125" style="0" customWidth="1"/>
    <col min="14" max="14" width="34.140625" style="0" customWidth="1"/>
    <col min="15" max="16" width="9.57421875" style="0" customWidth="1"/>
    <col min="18" max="18" width="8.8515625" style="0" customWidth="1"/>
    <col min="19" max="19" width="11.57421875" style="0" customWidth="1"/>
    <col min="20" max="16384" width="8.8515625" style="0" customWidth="1"/>
  </cols>
  <sheetData>
    <row r="1" spans="1:19" ht="24.75">
      <c r="A1" s="96"/>
      <c r="B1" s="97" t="s">
        <v>86</v>
      </c>
      <c r="C1" s="97" t="s">
        <v>87</v>
      </c>
      <c r="D1" s="97" t="s">
        <v>88</v>
      </c>
      <c r="E1" s="97" t="s">
        <v>89</v>
      </c>
      <c r="F1" s="97" t="s">
        <v>90</v>
      </c>
      <c r="G1" s="97" t="s">
        <v>68</v>
      </c>
      <c r="H1" s="98" t="s">
        <v>69</v>
      </c>
      <c r="I1" s="97" t="s">
        <v>70</v>
      </c>
      <c r="J1" s="97" t="s">
        <v>71</v>
      </c>
      <c r="K1" s="99" t="s">
        <v>91</v>
      </c>
      <c r="L1" s="99" t="s">
        <v>92</v>
      </c>
      <c r="M1" s="100" t="s">
        <v>93</v>
      </c>
      <c r="N1" s="101" t="s">
        <v>73</v>
      </c>
      <c r="O1" s="102" t="s">
        <v>94</v>
      </c>
      <c r="P1" s="102" t="s">
        <v>95</v>
      </c>
      <c r="Q1" s="102" t="s">
        <v>96</v>
      </c>
      <c r="R1" s="102" t="s">
        <v>97</v>
      </c>
      <c r="S1" s="102" t="s">
        <v>98</v>
      </c>
    </row>
    <row r="2" spans="1:18" ht="12.75">
      <c r="A2" s="96"/>
      <c r="B2" s="103">
        <f aca="true" t="shared" si="0" ref="B2:N2">IF(ISBLANK(B3),"",B3)</f>
      </c>
      <c r="C2" s="103">
        <f t="shared" si="0"/>
      </c>
      <c r="D2" s="103">
        <f t="shared" si="0"/>
      </c>
      <c r="E2" s="103">
        <f t="shared" si="0"/>
      </c>
      <c r="F2" s="103">
        <f t="shared" si="0"/>
      </c>
      <c r="G2" s="103">
        <f t="shared" si="0"/>
      </c>
      <c r="H2" s="103">
        <f t="shared" si="0"/>
      </c>
      <c r="I2" s="103">
        <f t="shared" si="0"/>
      </c>
      <c r="J2" s="103">
        <f t="shared" si="0"/>
      </c>
      <c r="K2" s="104">
        <f t="shared" si="0"/>
      </c>
      <c r="L2" s="104">
        <f t="shared" si="0"/>
      </c>
      <c r="M2" s="104">
        <f t="shared" si="0"/>
      </c>
      <c r="N2" s="103">
        <f t="shared" si="0"/>
      </c>
      <c r="O2" s="105"/>
      <c r="P2" s="106"/>
      <c r="Q2" s="105"/>
      <c r="R2" s="105"/>
    </row>
    <row r="3" spans="1:18" ht="12.75">
      <c r="A3" s="107">
        <v>2</v>
      </c>
      <c r="B3" s="108"/>
      <c r="C3" s="108"/>
      <c r="D3" s="108"/>
      <c r="E3" s="108"/>
      <c r="F3" s="108"/>
      <c r="G3" s="108"/>
      <c r="H3" s="108"/>
      <c r="I3" s="108"/>
      <c r="J3" s="108"/>
      <c r="K3" s="109"/>
      <c r="L3" s="109"/>
      <c r="M3" s="109"/>
      <c r="N3" s="108"/>
      <c r="O3" s="110"/>
      <c r="P3" s="111"/>
      <c r="Q3" s="110"/>
      <c r="R3" s="110"/>
    </row>
    <row r="4" spans="2:18" ht="12.75">
      <c r="B4" s="108"/>
      <c r="C4" s="108"/>
      <c r="D4" s="108"/>
      <c r="E4" s="108"/>
      <c r="F4" s="108"/>
      <c r="G4" s="108"/>
      <c r="H4" s="108"/>
      <c r="I4" s="108"/>
      <c r="J4" s="108"/>
      <c r="K4" s="109"/>
      <c r="L4" s="109"/>
      <c r="M4" s="109"/>
      <c r="N4" s="108"/>
      <c r="O4" s="111"/>
      <c r="P4" s="111"/>
      <c r="Q4" s="111"/>
      <c r="R4" s="110"/>
    </row>
    <row r="5" spans="2:18" ht="12.75">
      <c r="B5" s="108"/>
      <c r="C5" s="108"/>
      <c r="D5" s="108"/>
      <c r="E5" s="108"/>
      <c r="F5" s="108"/>
      <c r="G5" s="108"/>
      <c r="H5" s="108"/>
      <c r="I5" s="108"/>
      <c r="J5" s="108"/>
      <c r="K5" s="109"/>
      <c r="L5" s="109"/>
      <c r="M5" s="109"/>
      <c r="N5" s="108"/>
      <c r="O5" s="111"/>
      <c r="P5" s="111"/>
      <c r="Q5" s="111"/>
      <c r="R5" s="110"/>
    </row>
    <row r="6" spans="1:18" ht="12.75">
      <c r="A6" s="107"/>
      <c r="B6" s="108"/>
      <c r="C6" s="108"/>
      <c r="D6" s="108"/>
      <c r="E6" s="108"/>
      <c r="F6" s="108"/>
      <c r="G6" s="108"/>
      <c r="H6" s="108"/>
      <c r="I6" s="108"/>
      <c r="J6" s="108"/>
      <c r="K6" s="109"/>
      <c r="L6" s="109"/>
      <c r="M6" s="109"/>
      <c r="N6" s="108"/>
      <c r="O6" s="110"/>
      <c r="P6" s="110"/>
      <c r="Q6" s="110"/>
      <c r="R6" s="110"/>
    </row>
    <row r="7" spans="2:18" ht="12.75">
      <c r="B7" s="108"/>
      <c r="C7" s="108"/>
      <c r="D7" s="108"/>
      <c r="E7" s="108"/>
      <c r="F7" s="108"/>
      <c r="G7" s="108"/>
      <c r="H7" s="108"/>
      <c r="I7" s="108"/>
      <c r="J7" s="108"/>
      <c r="K7" s="109"/>
      <c r="L7" s="109"/>
      <c r="M7" s="109"/>
      <c r="N7" s="108"/>
      <c r="O7" s="111"/>
      <c r="P7" s="110"/>
      <c r="Q7" s="111"/>
      <c r="R7" s="110"/>
    </row>
    <row r="8" spans="1:18" ht="12.75">
      <c r="A8" s="107"/>
      <c r="B8" s="108"/>
      <c r="C8" s="108"/>
      <c r="D8" s="108"/>
      <c r="E8" s="108"/>
      <c r="F8" s="108"/>
      <c r="G8" s="108"/>
      <c r="H8" s="108"/>
      <c r="I8" s="108"/>
      <c r="J8" s="112"/>
      <c r="K8" s="109"/>
      <c r="L8" s="109"/>
      <c r="M8" s="109"/>
      <c r="N8" s="108"/>
      <c r="O8" s="110"/>
      <c r="P8" s="111"/>
      <c r="Q8" s="110"/>
      <c r="R8" s="110"/>
    </row>
    <row r="9" spans="2:18" ht="12.75">
      <c r="B9" s="108"/>
      <c r="C9" s="108"/>
      <c r="D9" s="108"/>
      <c r="E9" s="108"/>
      <c r="F9" s="108"/>
      <c r="G9" s="108"/>
      <c r="H9" s="108"/>
      <c r="I9" s="108"/>
      <c r="J9" s="108"/>
      <c r="K9" s="109"/>
      <c r="L9" s="109"/>
      <c r="M9" s="109"/>
      <c r="N9" s="108"/>
      <c r="O9" s="111"/>
      <c r="P9" s="111"/>
      <c r="Q9" s="111"/>
      <c r="R9" s="110"/>
    </row>
    <row r="10" spans="1:19" ht="12.75">
      <c r="A10" s="107"/>
      <c r="B10" s="113"/>
      <c r="C10" s="113"/>
      <c r="D10" s="113"/>
      <c r="E10" s="113"/>
      <c r="F10" s="113"/>
      <c r="G10" s="113"/>
      <c r="H10" s="113"/>
      <c r="I10" s="113"/>
      <c r="J10" s="114"/>
      <c r="K10" s="114"/>
      <c r="L10" s="109"/>
      <c r="M10" s="109"/>
      <c r="N10" s="113"/>
      <c r="O10" s="110"/>
      <c r="P10" s="111"/>
      <c r="Q10" s="110"/>
      <c r="R10" s="110"/>
      <c r="S10" s="1"/>
    </row>
    <row r="11" spans="2:19" ht="12.75">
      <c r="B11" s="108"/>
      <c r="C11" s="108"/>
      <c r="D11" s="108"/>
      <c r="E11" s="108"/>
      <c r="F11" s="108"/>
      <c r="G11" s="108"/>
      <c r="H11" s="108"/>
      <c r="I11" s="108"/>
      <c r="J11" s="108"/>
      <c r="K11" s="109"/>
      <c r="L11" s="109"/>
      <c r="M11" s="109"/>
      <c r="N11" s="115"/>
      <c r="O11" s="111"/>
      <c r="P11" s="110"/>
      <c r="Q11" s="111"/>
      <c r="R11" s="110"/>
      <c r="S11" s="1"/>
    </row>
    <row r="12" spans="1:18" ht="12.75">
      <c r="A12" s="107"/>
      <c r="B12" s="108"/>
      <c r="C12" s="108"/>
      <c r="D12" s="108"/>
      <c r="E12" s="108"/>
      <c r="F12" s="108"/>
      <c r="G12" s="108"/>
      <c r="H12" s="108"/>
      <c r="I12" s="108"/>
      <c r="J12" s="108"/>
      <c r="K12" s="109"/>
      <c r="L12" s="109"/>
      <c r="M12" s="109"/>
      <c r="N12" s="108"/>
      <c r="O12" s="110"/>
      <c r="P12" s="111"/>
      <c r="Q12" s="110"/>
      <c r="R12" s="110"/>
    </row>
    <row r="13" spans="1:18" ht="12.75">
      <c r="A13" s="107"/>
      <c r="B13" s="108"/>
      <c r="C13" s="108"/>
      <c r="D13" s="108"/>
      <c r="E13" s="108"/>
      <c r="F13" s="108"/>
      <c r="G13" s="108"/>
      <c r="H13" s="108"/>
      <c r="I13" s="108"/>
      <c r="J13" s="112"/>
      <c r="K13" s="109"/>
      <c r="L13" s="109"/>
      <c r="M13" s="109"/>
      <c r="N13" s="108"/>
      <c r="O13" s="110"/>
      <c r="P13" s="111"/>
      <c r="Q13" s="110"/>
      <c r="R13" s="110"/>
    </row>
    <row r="14" spans="1:18" ht="12.75">
      <c r="A14" s="107"/>
      <c r="B14" s="108"/>
      <c r="C14" s="108"/>
      <c r="D14" s="108"/>
      <c r="E14" s="113"/>
      <c r="F14" s="108"/>
      <c r="G14" s="108"/>
      <c r="H14" s="108"/>
      <c r="I14" s="108"/>
      <c r="J14" s="108"/>
      <c r="K14" s="109"/>
      <c r="L14" s="109"/>
      <c r="M14" s="109"/>
      <c r="N14" s="113"/>
      <c r="O14" s="110"/>
      <c r="P14" s="111"/>
      <c r="Q14" s="110"/>
      <c r="R14" s="110"/>
    </row>
    <row r="15" spans="1:19" ht="12.75">
      <c r="A15" s="107"/>
      <c r="B15" s="113"/>
      <c r="C15" s="113"/>
      <c r="D15" s="108"/>
      <c r="E15" s="113"/>
      <c r="F15" s="108"/>
      <c r="G15" s="108"/>
      <c r="H15" s="108"/>
      <c r="I15" s="108"/>
      <c r="J15" s="113"/>
      <c r="K15" s="109"/>
      <c r="L15" s="109"/>
      <c r="M15" s="109"/>
      <c r="N15" s="113"/>
      <c r="O15" s="110"/>
      <c r="P15" s="111"/>
      <c r="Q15" s="110"/>
      <c r="R15" s="110"/>
      <c r="S15" s="1"/>
    </row>
    <row r="16" spans="1:18" ht="12.75">
      <c r="A16" s="107"/>
      <c r="B16" s="108"/>
      <c r="C16" s="108"/>
      <c r="D16" s="108"/>
      <c r="E16" s="108"/>
      <c r="F16" s="108"/>
      <c r="G16" s="108"/>
      <c r="H16" s="108"/>
      <c r="I16" s="108"/>
      <c r="J16" s="108"/>
      <c r="K16" s="109"/>
      <c r="L16" s="109"/>
      <c r="M16" s="109"/>
      <c r="N16" s="108"/>
      <c r="O16" s="110"/>
      <c r="P16" s="110"/>
      <c r="Q16" s="110"/>
      <c r="R16" s="110"/>
    </row>
    <row r="17" spans="1:18" ht="12.75">
      <c r="A17" s="107"/>
      <c r="B17" s="108"/>
      <c r="C17" s="108"/>
      <c r="D17" s="108"/>
      <c r="E17" s="108"/>
      <c r="F17" s="108"/>
      <c r="G17" s="108"/>
      <c r="H17" s="108"/>
      <c r="I17" s="108"/>
      <c r="J17" s="108"/>
      <c r="K17" s="116"/>
      <c r="L17" s="109"/>
      <c r="M17" s="109"/>
      <c r="N17" s="108"/>
      <c r="O17" s="110"/>
      <c r="P17" s="111"/>
      <c r="Q17" s="110"/>
      <c r="R17" s="110"/>
    </row>
    <row r="18" spans="1:18" ht="12.75">
      <c r="A18" s="107"/>
      <c r="B18" s="108"/>
      <c r="C18" s="108"/>
      <c r="D18" s="108"/>
      <c r="E18" s="112"/>
      <c r="F18" s="108"/>
      <c r="G18" s="108"/>
      <c r="H18" s="108"/>
      <c r="I18" s="108"/>
      <c r="J18" s="108"/>
      <c r="K18" s="109"/>
      <c r="L18" s="109"/>
      <c r="M18" s="109"/>
      <c r="N18" s="108"/>
      <c r="O18" s="110"/>
      <c r="P18" s="111"/>
      <c r="Q18" s="110"/>
      <c r="R18" s="110"/>
    </row>
    <row r="19" spans="1:18" ht="12.75">
      <c r="A19" s="107"/>
      <c r="B19" s="108"/>
      <c r="C19" s="108"/>
      <c r="D19" s="108"/>
      <c r="E19" s="108"/>
      <c r="F19" s="108"/>
      <c r="G19" s="108"/>
      <c r="H19" s="108"/>
      <c r="I19" s="108"/>
      <c r="J19" s="108"/>
      <c r="K19" s="109"/>
      <c r="L19" s="109"/>
      <c r="M19" s="109"/>
      <c r="N19" s="108"/>
      <c r="O19" s="110"/>
      <c r="P19" s="111"/>
      <c r="Q19" s="110"/>
      <c r="R19" s="110"/>
    </row>
    <row r="20" spans="1:18" ht="12.75">
      <c r="A20" s="107"/>
      <c r="B20" s="108"/>
      <c r="C20" s="108"/>
      <c r="D20" s="108"/>
      <c r="E20" s="108"/>
      <c r="F20" s="108"/>
      <c r="G20" s="108"/>
      <c r="H20" s="108"/>
      <c r="I20" s="108"/>
      <c r="J20" s="108"/>
      <c r="K20" s="109"/>
      <c r="L20" s="109"/>
      <c r="M20" s="109"/>
      <c r="N20" s="108"/>
      <c r="O20" s="110"/>
      <c r="P20" s="111"/>
      <c r="Q20" s="110"/>
      <c r="R20" s="110"/>
    </row>
    <row r="21" spans="1:18" ht="12.75">
      <c r="A21" s="107"/>
      <c r="B21" s="108"/>
      <c r="C21" s="108"/>
      <c r="D21" s="108"/>
      <c r="E21" s="108"/>
      <c r="F21" s="108"/>
      <c r="G21" s="108"/>
      <c r="H21" s="108"/>
      <c r="I21" s="108"/>
      <c r="J21" s="108"/>
      <c r="K21" s="109"/>
      <c r="L21" s="109"/>
      <c r="M21" s="109"/>
      <c r="N21" s="108"/>
      <c r="O21" s="110"/>
      <c r="P21" s="110"/>
      <c r="Q21" s="110"/>
      <c r="R21" s="110"/>
    </row>
    <row r="22" spans="1:18" ht="12.75">
      <c r="A22" s="107"/>
      <c r="B22" s="108"/>
      <c r="C22" s="108"/>
      <c r="D22" s="108"/>
      <c r="E22" s="108"/>
      <c r="F22" s="108"/>
      <c r="G22" s="108"/>
      <c r="H22" s="108"/>
      <c r="I22" s="108"/>
      <c r="J22" s="108"/>
      <c r="K22" s="109"/>
      <c r="L22" s="109"/>
      <c r="M22" s="109"/>
      <c r="N22" s="108"/>
      <c r="O22" s="110"/>
      <c r="P22" s="110"/>
      <c r="Q22" s="110"/>
      <c r="R22" s="110"/>
    </row>
    <row r="23" spans="1:18" ht="12.75">
      <c r="A23" s="107"/>
      <c r="B23" s="108"/>
      <c r="C23" s="108"/>
      <c r="D23" s="108"/>
      <c r="E23" s="108"/>
      <c r="F23" s="108"/>
      <c r="G23" s="108"/>
      <c r="H23" s="108"/>
      <c r="I23" s="108"/>
      <c r="J23" s="108"/>
      <c r="K23" s="109"/>
      <c r="L23" s="109"/>
      <c r="M23" s="109"/>
      <c r="N23" s="108"/>
      <c r="O23" s="110"/>
      <c r="P23" s="110"/>
      <c r="Q23" s="110"/>
      <c r="R23" s="110"/>
    </row>
    <row r="24" spans="1:18" ht="12.75">
      <c r="A24" s="107"/>
      <c r="B24" s="108"/>
      <c r="C24" s="108"/>
      <c r="D24" s="108"/>
      <c r="E24" s="108"/>
      <c r="F24" s="108"/>
      <c r="G24" s="108"/>
      <c r="H24" s="108"/>
      <c r="I24" s="108"/>
      <c r="J24" s="108"/>
      <c r="K24" s="109"/>
      <c r="L24" s="109"/>
      <c r="M24" s="109"/>
      <c r="N24" s="108"/>
      <c r="O24" s="110"/>
      <c r="P24" s="111"/>
      <c r="Q24" s="110"/>
      <c r="R24" s="110"/>
    </row>
    <row r="25" spans="1:18" ht="12.75">
      <c r="A25" s="107"/>
      <c r="B25" s="108"/>
      <c r="C25" s="108"/>
      <c r="D25" s="108"/>
      <c r="E25" s="108"/>
      <c r="F25" s="108"/>
      <c r="G25" s="108"/>
      <c r="H25" s="108"/>
      <c r="I25" s="108"/>
      <c r="J25" s="108"/>
      <c r="K25" s="109"/>
      <c r="L25" s="109"/>
      <c r="M25" s="109"/>
      <c r="N25" s="108"/>
      <c r="O25" s="110"/>
      <c r="P25" s="110"/>
      <c r="Q25" s="110"/>
      <c r="R25" s="110"/>
    </row>
    <row r="26" spans="1:18" ht="12.75">
      <c r="A26" s="107"/>
      <c r="B26" s="108"/>
      <c r="C26" s="108"/>
      <c r="D26" s="108"/>
      <c r="E26" s="108"/>
      <c r="F26" s="108"/>
      <c r="G26" s="108"/>
      <c r="H26" s="108"/>
      <c r="I26" s="108"/>
      <c r="J26" s="108"/>
      <c r="K26" s="109"/>
      <c r="L26" s="109"/>
      <c r="M26" s="109"/>
      <c r="N26" s="108"/>
      <c r="O26" s="110"/>
      <c r="P26" s="111"/>
      <c r="Q26" s="110"/>
      <c r="R26" s="110"/>
    </row>
    <row r="27" spans="1:18" ht="12.75">
      <c r="A27" s="107"/>
      <c r="B27" s="108"/>
      <c r="C27" s="108"/>
      <c r="D27" s="108"/>
      <c r="E27" s="108"/>
      <c r="F27" s="108"/>
      <c r="G27" s="108"/>
      <c r="H27" s="108"/>
      <c r="I27" s="108"/>
      <c r="J27" s="108"/>
      <c r="K27" s="109"/>
      <c r="L27" s="109"/>
      <c r="M27" s="109"/>
      <c r="N27" s="108"/>
      <c r="O27" s="110"/>
      <c r="P27" s="111"/>
      <c r="Q27" s="110"/>
      <c r="R27" s="110"/>
    </row>
    <row r="28" spans="1:18" ht="12.75">
      <c r="A28" s="107"/>
      <c r="B28" s="108"/>
      <c r="C28" s="108"/>
      <c r="D28" s="108"/>
      <c r="E28" s="108"/>
      <c r="F28" s="108"/>
      <c r="G28" s="108"/>
      <c r="H28" s="108"/>
      <c r="I28" s="108"/>
      <c r="J28" s="108"/>
      <c r="K28" s="109"/>
      <c r="L28" s="109"/>
      <c r="M28" s="109"/>
      <c r="N28" s="108"/>
      <c r="O28" s="110"/>
      <c r="P28" s="111"/>
      <c r="Q28" s="110"/>
      <c r="R28" s="110"/>
    </row>
    <row r="29" spans="1:18" ht="12.75">
      <c r="A29" s="107"/>
      <c r="B29" s="108"/>
      <c r="C29" s="108"/>
      <c r="D29" s="108"/>
      <c r="E29" s="108"/>
      <c r="F29" s="108"/>
      <c r="G29" s="108"/>
      <c r="H29" s="108"/>
      <c r="I29" s="108"/>
      <c r="J29" s="108"/>
      <c r="K29" s="109"/>
      <c r="L29" s="109"/>
      <c r="M29" s="109"/>
      <c r="N29" s="108"/>
      <c r="O29" s="110"/>
      <c r="P29" s="111"/>
      <c r="Q29" s="110"/>
      <c r="R29" s="110"/>
    </row>
    <row r="30" spans="1:18" ht="12.75">
      <c r="A30" s="107"/>
      <c r="B30" s="108"/>
      <c r="C30" s="108"/>
      <c r="D30" s="108"/>
      <c r="E30" s="108"/>
      <c r="F30" s="108"/>
      <c r="G30" s="108"/>
      <c r="H30" s="108"/>
      <c r="I30" s="108"/>
      <c r="J30" s="108"/>
      <c r="K30" s="109"/>
      <c r="L30" s="109"/>
      <c r="M30" s="109"/>
      <c r="N30" s="108"/>
      <c r="O30" s="110"/>
      <c r="P30" s="111"/>
      <c r="Q30" s="110"/>
      <c r="R30" s="110"/>
    </row>
    <row r="31" spans="1:18" ht="12.75">
      <c r="A31" s="107"/>
      <c r="B31" s="108"/>
      <c r="C31" s="108"/>
      <c r="D31" s="108"/>
      <c r="E31" s="108"/>
      <c r="F31" s="108"/>
      <c r="G31" s="108"/>
      <c r="H31" s="108"/>
      <c r="I31" s="108"/>
      <c r="J31" s="108"/>
      <c r="K31" s="109"/>
      <c r="L31" s="109"/>
      <c r="M31" s="109"/>
      <c r="N31" s="108"/>
      <c r="O31" s="110"/>
      <c r="P31" s="111"/>
      <c r="Q31" s="110"/>
      <c r="R31" s="110"/>
    </row>
    <row r="32" spans="11:18" ht="12.75">
      <c r="K32" s="117"/>
      <c r="L32" s="117"/>
      <c r="M32" s="117"/>
      <c r="O32" s="118"/>
      <c r="Q32" s="118"/>
      <c r="R32" s="118"/>
    </row>
    <row r="34" ht="12.75">
      <c r="P34" t="s">
        <v>99</v>
      </c>
    </row>
    <row r="35" ht="12.75">
      <c r="P35" t="s">
        <v>100</v>
      </c>
    </row>
    <row r="36" ht="12.75">
      <c r="P36" t="s">
        <v>101</v>
      </c>
    </row>
    <row r="37" ht="12.75">
      <c r="P37" t="s">
        <v>102</v>
      </c>
    </row>
    <row r="38" ht="12.75">
      <c r="P38" t="s">
        <v>103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CZ143"/>
  <sheetViews>
    <sheetView tabSelected="1" workbookViewId="0" topLeftCell="A103">
      <selection activeCell="D50" sqref="D50"/>
    </sheetView>
  </sheetViews>
  <sheetFormatPr defaultColWidth="9.140625" defaultRowHeight="12.75"/>
  <cols>
    <col min="1" max="1" width="5.57421875" style="119" customWidth="1"/>
    <col min="2" max="2" width="3.7109375" style="120" customWidth="1"/>
    <col min="3" max="3" width="30.7109375" style="121" customWidth="1"/>
    <col min="4" max="4" width="5.57421875" style="119" customWidth="1"/>
    <col min="5" max="5" width="0.71875" style="0" customWidth="1"/>
    <col min="6" max="6" width="5.57421875" style="119" customWidth="1"/>
    <col min="7" max="7" width="3.7109375" style="120" customWidth="1"/>
    <col min="8" max="8" width="30.7109375" style="121" customWidth="1"/>
    <col min="9" max="9" width="5.57421875" style="119" customWidth="1"/>
    <col min="10" max="10" width="8.8515625" style="0" customWidth="1"/>
    <col min="11" max="11" width="4.57421875" style="0" customWidth="1"/>
    <col min="12" max="12" width="3.7109375" style="122" customWidth="1"/>
    <col min="13" max="13" width="30.140625" style="0" customWidth="1"/>
    <col min="14" max="16384" width="8.8515625" style="0" customWidth="1"/>
  </cols>
  <sheetData>
    <row r="1" spans="1:9" ht="60.75">
      <c r="A1" s="123" t="s">
        <v>104</v>
      </c>
      <c r="B1" s="124" t="s">
        <v>105</v>
      </c>
      <c r="C1" s="125" t="s">
        <v>106</v>
      </c>
      <c r="D1" s="126" t="s">
        <v>107</v>
      </c>
      <c r="F1" s="123" t="s">
        <v>104</v>
      </c>
      <c r="G1" s="124" t="s">
        <v>105</v>
      </c>
      <c r="H1" s="125" t="s">
        <v>106</v>
      </c>
      <c r="I1" s="126" t="s">
        <v>107</v>
      </c>
    </row>
    <row r="2" spans="1:12" ht="12.75">
      <c r="A2" s="127"/>
      <c r="B2" s="128"/>
      <c r="C2" s="129" t="s">
        <v>108</v>
      </c>
      <c r="D2" s="130"/>
      <c r="F2" s="131">
        <f>A18</f>
        <v>99.80000000000001</v>
      </c>
      <c r="G2" s="132" t="s">
        <v>109</v>
      </c>
      <c r="H2" s="133" t="s">
        <v>110</v>
      </c>
      <c r="I2" s="134">
        <v>13.5</v>
      </c>
      <c r="L2"/>
    </row>
    <row r="3" spans="1:12" ht="12.75">
      <c r="A3" s="127"/>
      <c r="B3" s="128"/>
      <c r="C3" s="129" t="s">
        <v>111</v>
      </c>
      <c r="D3" s="130"/>
      <c r="F3" s="127"/>
      <c r="G3" s="135"/>
      <c r="H3" s="136" t="s">
        <v>112</v>
      </c>
      <c r="I3" s="137"/>
      <c r="L3"/>
    </row>
    <row r="4" spans="1:12" ht="12.75">
      <c r="A4" s="127"/>
      <c r="B4" s="128"/>
      <c r="C4" s="138" t="s">
        <v>113</v>
      </c>
      <c r="D4" s="130"/>
      <c r="F4" s="127"/>
      <c r="G4" s="139"/>
      <c r="H4" s="136" t="s">
        <v>114</v>
      </c>
      <c r="I4" s="137"/>
      <c r="L4"/>
    </row>
    <row r="5" spans="1:12" ht="12.75">
      <c r="A5" s="127"/>
      <c r="B5" s="128"/>
      <c r="C5" s="140"/>
      <c r="D5" s="141"/>
      <c r="F5" s="127">
        <f>F2+I2</f>
        <v>113.30000000000001</v>
      </c>
      <c r="G5" s="142" t="s">
        <v>115</v>
      </c>
      <c r="H5" s="143" t="s">
        <v>116</v>
      </c>
      <c r="I5" s="141">
        <v>39.7</v>
      </c>
      <c r="L5"/>
    </row>
    <row r="6" spans="1:12" ht="12.75">
      <c r="A6" s="127">
        <v>0</v>
      </c>
      <c r="B6" s="128" t="s">
        <v>115</v>
      </c>
      <c r="C6" s="140" t="s">
        <v>117</v>
      </c>
      <c r="D6" s="141">
        <v>0.4</v>
      </c>
      <c r="F6" s="127">
        <f aca="true" t="shared" si="0" ref="F6:F19">F5+I5</f>
        <v>153</v>
      </c>
      <c r="G6" s="142" t="s">
        <v>118</v>
      </c>
      <c r="H6" s="143" t="s">
        <v>119</v>
      </c>
      <c r="I6" s="141">
        <v>6.6</v>
      </c>
      <c r="L6"/>
    </row>
    <row r="7" spans="1:12" ht="12.75">
      <c r="A7" s="127"/>
      <c r="B7" s="128"/>
      <c r="C7" s="140" t="s">
        <v>120</v>
      </c>
      <c r="D7" s="141"/>
      <c r="F7" s="127">
        <f t="shared" si="0"/>
        <v>159.6</v>
      </c>
      <c r="G7" s="142" t="s">
        <v>121</v>
      </c>
      <c r="H7" s="143" t="s">
        <v>122</v>
      </c>
      <c r="I7" s="141">
        <v>32.1</v>
      </c>
      <c r="L7"/>
    </row>
    <row r="8" spans="1:12" ht="12.75">
      <c r="A8" s="127">
        <f>A6+D6</f>
        <v>0.4</v>
      </c>
      <c r="B8" s="128" t="s">
        <v>121</v>
      </c>
      <c r="C8" s="140" t="s">
        <v>123</v>
      </c>
      <c r="D8" s="141">
        <v>0.4</v>
      </c>
      <c r="F8" s="127">
        <f t="shared" si="0"/>
        <v>191.7</v>
      </c>
      <c r="G8" s="142" t="s">
        <v>115</v>
      </c>
      <c r="H8" s="143" t="s">
        <v>124</v>
      </c>
      <c r="I8" s="141">
        <v>4.6</v>
      </c>
      <c r="L8"/>
    </row>
    <row r="9" spans="1:12" ht="12.75">
      <c r="A9" s="127">
        <f aca="true" t="shared" si="1" ref="A9:A14">A8+D8</f>
        <v>0.8</v>
      </c>
      <c r="B9" s="142" t="s">
        <v>118</v>
      </c>
      <c r="C9" s="143" t="s">
        <v>125</v>
      </c>
      <c r="D9" s="141">
        <v>2.5</v>
      </c>
      <c r="F9" s="127">
        <f t="shared" si="0"/>
        <v>196.29999999999998</v>
      </c>
      <c r="G9" s="142" t="s">
        <v>121</v>
      </c>
      <c r="H9" s="143" t="s">
        <v>126</v>
      </c>
      <c r="I9" s="141">
        <v>2</v>
      </c>
      <c r="L9"/>
    </row>
    <row r="10" spans="1:12" ht="12.75">
      <c r="A10" s="127">
        <f t="shared" si="1"/>
        <v>3.3</v>
      </c>
      <c r="B10" s="128" t="s">
        <v>121</v>
      </c>
      <c r="C10" s="140" t="s">
        <v>127</v>
      </c>
      <c r="D10" s="141">
        <v>4.6</v>
      </c>
      <c r="F10" s="127">
        <f t="shared" si="0"/>
        <v>198.29999999999998</v>
      </c>
      <c r="G10" s="144" t="s">
        <v>115</v>
      </c>
      <c r="H10" s="145" t="s">
        <v>128</v>
      </c>
      <c r="I10" s="146">
        <v>1.6</v>
      </c>
      <c r="L10"/>
    </row>
    <row r="11" spans="1:12" ht="12.75">
      <c r="A11" s="127">
        <f t="shared" si="1"/>
        <v>7.8999999999999995</v>
      </c>
      <c r="B11" s="128" t="s">
        <v>118</v>
      </c>
      <c r="C11" s="140" t="s">
        <v>129</v>
      </c>
      <c r="D11" s="141">
        <v>32.1</v>
      </c>
      <c r="F11" s="127">
        <f t="shared" si="0"/>
        <v>199.89999999999998</v>
      </c>
      <c r="G11" s="142" t="s">
        <v>118</v>
      </c>
      <c r="H11" s="143" t="s">
        <v>130</v>
      </c>
      <c r="I11" s="141">
        <v>0.6</v>
      </c>
      <c r="L11"/>
    </row>
    <row r="12" spans="1:12" ht="12.75">
      <c r="A12" s="127">
        <f t="shared" si="1"/>
        <v>40</v>
      </c>
      <c r="B12" s="142" t="s">
        <v>121</v>
      </c>
      <c r="C12" s="143" t="s">
        <v>122</v>
      </c>
      <c r="D12" s="141">
        <v>6.6</v>
      </c>
      <c r="F12" s="127">
        <f t="shared" si="0"/>
        <v>200.49999999999997</v>
      </c>
      <c r="G12" s="142" t="s">
        <v>121</v>
      </c>
      <c r="H12" s="143" t="s">
        <v>131</v>
      </c>
      <c r="I12" s="141">
        <v>0.4</v>
      </c>
      <c r="L12"/>
    </row>
    <row r="13" spans="1:12" ht="12.75">
      <c r="A13" s="127">
        <f t="shared" si="1"/>
        <v>46.6</v>
      </c>
      <c r="B13" s="142" t="s">
        <v>115</v>
      </c>
      <c r="C13" s="143" t="s">
        <v>132</v>
      </c>
      <c r="D13" s="141">
        <v>39.7</v>
      </c>
      <c r="F13" s="127">
        <f t="shared" si="0"/>
        <v>200.89999999999998</v>
      </c>
      <c r="G13" s="142" t="s">
        <v>118</v>
      </c>
      <c r="H13" s="143" t="s">
        <v>133</v>
      </c>
      <c r="I13" s="141">
        <v>0.3</v>
      </c>
      <c r="L13"/>
    </row>
    <row r="14" spans="1:9" ht="12.75">
      <c r="A14" s="131">
        <f t="shared" si="1"/>
        <v>86.30000000000001</v>
      </c>
      <c r="B14" s="135" t="s">
        <v>118</v>
      </c>
      <c r="C14" s="147" t="s">
        <v>134</v>
      </c>
      <c r="D14" s="137">
        <v>13.5</v>
      </c>
      <c r="F14" s="127">
        <f t="shared" si="0"/>
        <v>201.2</v>
      </c>
      <c r="G14" s="144" t="s">
        <v>121</v>
      </c>
      <c r="H14" s="145" t="s">
        <v>135</v>
      </c>
      <c r="I14" s="146">
        <v>1.2</v>
      </c>
    </row>
    <row r="15" spans="1:12" ht="12.75">
      <c r="A15" s="131"/>
      <c r="B15" s="128"/>
      <c r="C15" s="148" t="s">
        <v>136</v>
      </c>
      <c r="D15" s="137"/>
      <c r="F15" s="127">
        <f t="shared" si="0"/>
        <v>202.39999999999998</v>
      </c>
      <c r="G15" s="142" t="s">
        <v>115</v>
      </c>
      <c r="H15" s="140" t="s">
        <v>137</v>
      </c>
      <c r="I15" s="141">
        <v>0.8</v>
      </c>
      <c r="L15"/>
    </row>
    <row r="16" spans="1:12" ht="12.75">
      <c r="A16" s="149"/>
      <c r="B16" s="129"/>
      <c r="C16" s="148" t="s">
        <v>138</v>
      </c>
      <c r="D16" s="130"/>
      <c r="F16" s="127">
        <f t="shared" si="0"/>
        <v>203.2</v>
      </c>
      <c r="G16" s="142" t="s">
        <v>118</v>
      </c>
      <c r="H16" s="143" t="s">
        <v>139</v>
      </c>
      <c r="I16" s="130">
        <v>0.9</v>
      </c>
      <c r="L16"/>
    </row>
    <row r="17" spans="1:9" ht="12.75">
      <c r="A17" s="127"/>
      <c r="B17" s="142"/>
      <c r="C17" s="138"/>
      <c r="D17" s="130"/>
      <c r="F17" s="127">
        <f t="shared" si="0"/>
        <v>204.1</v>
      </c>
      <c r="G17" s="142" t="s">
        <v>118</v>
      </c>
      <c r="H17" s="143" t="s">
        <v>140</v>
      </c>
      <c r="I17" s="141">
        <v>0.4</v>
      </c>
    </row>
    <row r="18" spans="1:9" ht="12.75">
      <c r="A18" s="149">
        <f>A14+D14</f>
        <v>99.80000000000001</v>
      </c>
      <c r="B18" s="129" t="s">
        <v>118</v>
      </c>
      <c r="C18" s="138" t="s">
        <v>141</v>
      </c>
      <c r="D18" s="130"/>
      <c r="F18" s="127">
        <f t="shared" si="0"/>
        <v>204.5</v>
      </c>
      <c r="G18" s="142" t="s">
        <v>115</v>
      </c>
      <c r="H18" s="143" t="s">
        <v>142</v>
      </c>
      <c r="I18" s="141">
        <v>0.4</v>
      </c>
    </row>
    <row r="19" spans="1:9" ht="12.75">
      <c r="A19" s="127"/>
      <c r="B19" s="142"/>
      <c r="C19" s="138" t="s">
        <v>26</v>
      </c>
      <c r="D19" s="130"/>
      <c r="F19" s="149">
        <f t="shared" si="0"/>
        <v>204.9</v>
      </c>
      <c r="G19" s="129"/>
      <c r="H19" s="129" t="s">
        <v>143</v>
      </c>
      <c r="I19" s="141"/>
    </row>
    <row r="20" spans="1:9" ht="12.75">
      <c r="A20" s="131"/>
      <c r="B20" s="139"/>
      <c r="C20" s="138" t="s">
        <v>144</v>
      </c>
      <c r="D20" s="150"/>
      <c r="F20" s="127"/>
      <c r="G20" s="142"/>
      <c r="H20" s="129" t="s">
        <v>145</v>
      </c>
      <c r="I20" s="130"/>
    </row>
    <row r="21" spans="1:9" ht="12.75">
      <c r="A21" s="131"/>
      <c r="B21" s="142"/>
      <c r="C21" s="136"/>
      <c r="D21" s="150"/>
      <c r="F21" s="127"/>
      <c r="G21" s="142"/>
      <c r="H21" s="138" t="s">
        <v>113</v>
      </c>
      <c r="I21" s="130"/>
    </row>
    <row r="22" spans="1:9" ht="12.75">
      <c r="A22" s="131"/>
      <c r="B22" s="151"/>
      <c r="C22" s="136" t="s">
        <v>146</v>
      </c>
      <c r="D22" s="150"/>
      <c r="F22" s="127"/>
      <c r="G22" s="142"/>
      <c r="H22" s="138"/>
      <c r="I22" s="130"/>
    </row>
    <row r="23" spans="1:9" ht="12.75">
      <c r="A23" s="152"/>
      <c r="B23" s="153"/>
      <c r="C23" s="154" t="s">
        <v>147</v>
      </c>
      <c r="D23" s="155"/>
      <c r="F23" s="156"/>
      <c r="G23" s="157"/>
      <c r="H23" s="158" t="s">
        <v>148</v>
      </c>
      <c r="I23" s="159"/>
    </row>
    <row r="24" spans="1:9" ht="4.5" customHeight="1">
      <c r="A24" s="160"/>
      <c r="B24" s="161"/>
      <c r="C24" s="162"/>
      <c r="D24" s="160"/>
      <c r="F24" s="160"/>
      <c r="G24" s="161"/>
      <c r="H24" s="162"/>
      <c r="I24" s="160"/>
    </row>
    <row r="25" spans="1:9" ht="60.75">
      <c r="A25" s="123" t="s">
        <v>104</v>
      </c>
      <c r="B25" s="124" t="s">
        <v>105</v>
      </c>
      <c r="C25" s="125" t="s">
        <v>106</v>
      </c>
      <c r="D25" s="126" t="s">
        <v>107</v>
      </c>
      <c r="F25" s="123" t="s">
        <v>104</v>
      </c>
      <c r="G25" s="124" t="s">
        <v>105</v>
      </c>
      <c r="H25" s="125" t="s">
        <v>106</v>
      </c>
      <c r="I25" s="126" t="s">
        <v>107</v>
      </c>
    </row>
    <row r="26" spans="1:104" s="165" customFormat="1" ht="12.75">
      <c r="A26" s="127">
        <f>F19</f>
        <v>204.9</v>
      </c>
      <c r="B26" s="142" t="s">
        <v>115</v>
      </c>
      <c r="C26" s="143" t="s">
        <v>149</v>
      </c>
      <c r="D26" s="130">
        <v>6.6</v>
      </c>
      <c r="E26"/>
      <c r="F26" s="131">
        <f>A44+D44</f>
        <v>294.6</v>
      </c>
      <c r="G26" s="163" t="s">
        <v>121</v>
      </c>
      <c r="H26" s="164" t="s">
        <v>150</v>
      </c>
      <c r="I26" s="150">
        <v>0</v>
      </c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</row>
    <row r="27" spans="1:104" s="165" customFormat="1" ht="12.75">
      <c r="A27" s="127">
        <f>A26+D26</f>
        <v>211.5</v>
      </c>
      <c r="B27" s="142" t="s">
        <v>115</v>
      </c>
      <c r="C27" s="143" t="s">
        <v>151</v>
      </c>
      <c r="D27" s="130">
        <v>1.7</v>
      </c>
      <c r="E27"/>
      <c r="F27" s="131">
        <f aca="true" t="shared" si="2" ref="F27:F35">F26+I26</f>
        <v>294.6</v>
      </c>
      <c r="G27" s="139" t="s">
        <v>115</v>
      </c>
      <c r="H27" s="147" t="s">
        <v>152</v>
      </c>
      <c r="I27" s="150">
        <v>0.2</v>
      </c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</row>
    <row r="28" spans="1:104" s="165" customFormat="1" ht="12.75">
      <c r="A28" s="127">
        <f>A27+D27</f>
        <v>213.2</v>
      </c>
      <c r="B28" s="142" t="s">
        <v>118</v>
      </c>
      <c r="C28" s="143" t="s">
        <v>153</v>
      </c>
      <c r="D28" s="141">
        <v>59.5</v>
      </c>
      <c r="E28"/>
      <c r="F28" s="131">
        <f t="shared" si="2"/>
        <v>294.8</v>
      </c>
      <c r="G28" s="139" t="s">
        <v>115</v>
      </c>
      <c r="H28" s="147" t="s">
        <v>154</v>
      </c>
      <c r="I28" s="150">
        <v>1.9</v>
      </c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</row>
    <row r="29" spans="1:104" s="165" customFormat="1" ht="12.75">
      <c r="A29" s="127">
        <f>A28+D28</f>
        <v>272.7</v>
      </c>
      <c r="B29" s="139" t="s">
        <v>115</v>
      </c>
      <c r="C29" s="166" t="s">
        <v>155</v>
      </c>
      <c r="D29" s="150">
        <v>0.4</v>
      </c>
      <c r="E29"/>
      <c r="F29" s="131">
        <f t="shared" si="2"/>
        <v>296.7</v>
      </c>
      <c r="G29" s="135" t="s">
        <v>115</v>
      </c>
      <c r="H29" s="147" t="s">
        <v>156</v>
      </c>
      <c r="I29" s="150">
        <v>0.3</v>
      </c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</row>
    <row r="30" spans="1:104" s="165" customFormat="1" ht="12.75">
      <c r="A30" s="127">
        <f>A29+D29</f>
        <v>273.09999999999997</v>
      </c>
      <c r="B30" s="139" t="s">
        <v>118</v>
      </c>
      <c r="C30" s="143" t="s">
        <v>157</v>
      </c>
      <c r="D30" s="150">
        <v>1.1</v>
      </c>
      <c r="E30"/>
      <c r="F30" s="131">
        <f t="shared" si="2"/>
        <v>297</v>
      </c>
      <c r="G30" s="135" t="s">
        <v>118</v>
      </c>
      <c r="H30" s="147" t="s">
        <v>158</v>
      </c>
      <c r="I30" s="150">
        <v>0.1</v>
      </c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</row>
    <row r="31" spans="1:104" s="165" customFormat="1" ht="12.75">
      <c r="A31" s="127">
        <f>A30+D30</f>
        <v>274.2</v>
      </c>
      <c r="B31" s="139" t="s">
        <v>118</v>
      </c>
      <c r="C31" s="143" t="s">
        <v>159</v>
      </c>
      <c r="D31" s="150">
        <v>0</v>
      </c>
      <c r="E31"/>
      <c r="F31" s="131">
        <f t="shared" si="2"/>
        <v>297.1</v>
      </c>
      <c r="G31" s="135" t="s">
        <v>115</v>
      </c>
      <c r="H31" s="147" t="s">
        <v>160</v>
      </c>
      <c r="I31" s="150">
        <v>0.1</v>
      </c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</row>
    <row r="32" spans="1:104" s="165" customFormat="1" ht="12.75">
      <c r="A32" s="127"/>
      <c r="B32" s="139"/>
      <c r="C32" s="143"/>
      <c r="D32" s="150"/>
      <c r="E32"/>
      <c r="F32" s="131">
        <f t="shared" si="2"/>
        <v>297.20000000000005</v>
      </c>
      <c r="G32" s="135" t="s">
        <v>118</v>
      </c>
      <c r="H32" s="147" t="s">
        <v>161</v>
      </c>
      <c r="I32" s="150">
        <v>0.2</v>
      </c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</row>
    <row r="33" spans="1:104" s="165" customFormat="1" ht="12.75">
      <c r="A33" s="149">
        <f>A31+D31</f>
        <v>274.2</v>
      </c>
      <c r="B33" s="129" t="s">
        <v>118</v>
      </c>
      <c r="C33" s="129" t="s">
        <v>162</v>
      </c>
      <c r="D33" s="130"/>
      <c r="E33"/>
      <c r="F33" s="131">
        <f t="shared" si="2"/>
        <v>297.40000000000003</v>
      </c>
      <c r="G33" s="135" t="s">
        <v>121</v>
      </c>
      <c r="H33" s="147" t="s">
        <v>163</v>
      </c>
      <c r="I33" s="150">
        <v>2.4</v>
      </c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</row>
    <row r="34" spans="1:104" s="165" customFormat="1" ht="12.75">
      <c r="A34" s="127"/>
      <c r="B34" s="142"/>
      <c r="C34" s="129" t="s">
        <v>164</v>
      </c>
      <c r="D34" s="130"/>
      <c r="E34"/>
      <c r="F34" s="131">
        <f t="shared" si="2"/>
        <v>299.8</v>
      </c>
      <c r="G34" s="135" t="s">
        <v>115</v>
      </c>
      <c r="H34" s="147" t="s">
        <v>165</v>
      </c>
      <c r="I34" s="150">
        <v>0.8</v>
      </c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</row>
    <row r="35" spans="1:104" s="165" customFormat="1" ht="12.75">
      <c r="A35" s="127"/>
      <c r="B35" s="142"/>
      <c r="C35" s="138" t="s">
        <v>166</v>
      </c>
      <c r="D35" s="130"/>
      <c r="E35"/>
      <c r="F35" s="131">
        <f t="shared" si="2"/>
        <v>300.6</v>
      </c>
      <c r="G35" s="139" t="s">
        <v>115</v>
      </c>
      <c r="H35" s="166" t="s">
        <v>167</v>
      </c>
      <c r="I35" s="150">
        <v>1</v>
      </c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</row>
    <row r="36" spans="1:104" s="165" customFormat="1" ht="12.75">
      <c r="A36" s="167"/>
      <c r="B36" s="129"/>
      <c r="C36" s="168" t="s">
        <v>168</v>
      </c>
      <c r="D36" s="169"/>
      <c r="E36"/>
      <c r="F36" s="131"/>
      <c r="G36" s="139"/>
      <c r="H36" s="170" t="s">
        <v>169</v>
      </c>
      <c r="I36" s="150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</row>
    <row r="37" spans="1:104" s="165" customFormat="1" ht="12.75">
      <c r="A37" s="127"/>
      <c r="B37" s="129"/>
      <c r="C37" s="136"/>
      <c r="D37" s="169"/>
      <c r="E37"/>
      <c r="F37" s="131">
        <f>F35+I35</f>
        <v>301.6</v>
      </c>
      <c r="G37" s="139" t="s">
        <v>115</v>
      </c>
      <c r="H37" s="166" t="s">
        <v>170</v>
      </c>
      <c r="I37" s="150">
        <v>1.7</v>
      </c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</row>
    <row r="38" spans="1:104" s="165" customFormat="1" ht="12.75">
      <c r="A38" s="127"/>
      <c r="B38" s="129"/>
      <c r="C38" s="136" t="s">
        <v>146</v>
      </c>
      <c r="D38" s="169"/>
      <c r="E38"/>
      <c r="F38" s="131">
        <f>F37+I37</f>
        <v>303.3</v>
      </c>
      <c r="G38" s="135" t="s">
        <v>121</v>
      </c>
      <c r="H38" s="147" t="s">
        <v>171</v>
      </c>
      <c r="I38" s="150">
        <v>1.8</v>
      </c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</row>
    <row r="39" spans="1:104" s="165" customFormat="1" ht="12.75">
      <c r="A39" s="127"/>
      <c r="B39" s="142"/>
      <c r="C39" s="136" t="s">
        <v>147</v>
      </c>
      <c r="D39" s="130"/>
      <c r="E39"/>
      <c r="F39" s="131">
        <f>F38+I38</f>
        <v>305.1</v>
      </c>
      <c r="G39" s="135" t="s">
        <v>121</v>
      </c>
      <c r="H39" s="140" t="s">
        <v>172</v>
      </c>
      <c r="I39" s="150">
        <v>4.2</v>
      </c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</row>
    <row r="40" spans="1:104" s="165" customFormat="1" ht="12.75">
      <c r="A40" s="131"/>
      <c r="B40" s="142"/>
      <c r="C40" s="143"/>
      <c r="D40" s="130"/>
      <c r="E40"/>
      <c r="F40" s="131">
        <f>F39+I39</f>
        <v>309.3</v>
      </c>
      <c r="G40" s="135" t="s">
        <v>118</v>
      </c>
      <c r="H40" s="147" t="s">
        <v>173</v>
      </c>
      <c r="I40" s="150">
        <v>1.3</v>
      </c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</row>
    <row r="41" spans="1:104" s="165" customFormat="1" ht="12.75">
      <c r="A41" s="131">
        <f>A33</f>
        <v>274.2</v>
      </c>
      <c r="B41" s="142" t="s">
        <v>115</v>
      </c>
      <c r="C41" s="143" t="s">
        <v>174</v>
      </c>
      <c r="D41" s="130">
        <v>0.1</v>
      </c>
      <c r="E41"/>
      <c r="F41" s="131"/>
      <c r="G41" s="135"/>
      <c r="H41" s="147"/>
      <c r="I41" s="150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</row>
    <row r="42" spans="1:104" s="165" customFormat="1" ht="12.75">
      <c r="A42" s="131">
        <f>A41+D41</f>
        <v>274.3</v>
      </c>
      <c r="B42" s="139" t="s">
        <v>115</v>
      </c>
      <c r="C42" s="171" t="s">
        <v>175</v>
      </c>
      <c r="D42" s="150">
        <v>0.6</v>
      </c>
      <c r="E42"/>
      <c r="F42" s="149">
        <f>F40+I40</f>
        <v>310.6</v>
      </c>
      <c r="G42" s="129"/>
      <c r="H42" s="129" t="s">
        <v>176</v>
      </c>
      <c r="I42" s="130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</row>
    <row r="43" spans="1:104" s="165" customFormat="1" ht="12.75">
      <c r="A43" s="131">
        <f>A42+D42</f>
        <v>274.90000000000003</v>
      </c>
      <c r="B43" s="139" t="s">
        <v>115</v>
      </c>
      <c r="C43" s="133" t="s">
        <v>177</v>
      </c>
      <c r="D43" s="150">
        <v>19</v>
      </c>
      <c r="E43"/>
      <c r="F43" s="127"/>
      <c r="G43" s="142"/>
      <c r="H43" s="129" t="s">
        <v>178</v>
      </c>
      <c r="I43" s="130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</row>
    <row r="44" spans="1:104" s="165" customFormat="1" ht="12.75">
      <c r="A44" s="131">
        <f>A43+D43</f>
        <v>293.90000000000003</v>
      </c>
      <c r="B44" s="172" t="s">
        <v>121</v>
      </c>
      <c r="C44" s="147" t="s">
        <v>179</v>
      </c>
      <c r="D44" s="150">
        <v>0.7</v>
      </c>
      <c r="E44"/>
      <c r="F44" s="127"/>
      <c r="G44" s="142"/>
      <c r="H44" s="138" t="s">
        <v>180</v>
      </c>
      <c r="I44" s="130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</row>
    <row r="45" spans="1:104" s="165" customFormat="1" ht="12.75">
      <c r="A45" s="131">
        <f>A44+D44</f>
        <v>294.6</v>
      </c>
      <c r="B45" s="142" t="s">
        <v>118</v>
      </c>
      <c r="C45" s="147" t="s">
        <v>181</v>
      </c>
      <c r="D45" s="130">
        <v>0</v>
      </c>
      <c r="E45"/>
      <c r="F45" s="127"/>
      <c r="G45" s="142"/>
      <c r="H45" s="138"/>
      <c r="I45" s="130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</row>
    <row r="46" spans="1:104" s="165" customFormat="1" ht="12.75">
      <c r="A46" s="131"/>
      <c r="B46" s="142"/>
      <c r="C46" s="136" t="s">
        <v>182</v>
      </c>
      <c r="D46" s="150"/>
      <c r="E46"/>
      <c r="F46" s="131"/>
      <c r="G46" s="142"/>
      <c r="H46" s="148" t="s">
        <v>183</v>
      </c>
      <c r="I46" s="130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</row>
    <row r="47" spans="1:12" ht="12.75">
      <c r="A47" s="173"/>
      <c r="B47" s="174"/>
      <c r="C47" s="154" t="s">
        <v>114</v>
      </c>
      <c r="D47" s="175"/>
      <c r="F47" s="156"/>
      <c r="G47" s="157"/>
      <c r="H47" s="176"/>
      <c r="I47" s="159"/>
      <c r="L47"/>
    </row>
    <row r="48" ht="3.75" customHeight="1">
      <c r="L48"/>
    </row>
    <row r="49" spans="1:12" ht="60.75">
      <c r="A49" s="123" t="s">
        <v>104</v>
      </c>
      <c r="B49" s="124" t="s">
        <v>105</v>
      </c>
      <c r="C49" s="125" t="s">
        <v>106</v>
      </c>
      <c r="D49" s="126" t="s">
        <v>107</v>
      </c>
      <c r="F49" s="123" t="s">
        <v>104</v>
      </c>
      <c r="G49" s="124" t="s">
        <v>105</v>
      </c>
      <c r="H49" s="125" t="s">
        <v>106</v>
      </c>
      <c r="I49" s="126" t="s">
        <v>107</v>
      </c>
      <c r="L49"/>
    </row>
    <row r="50" spans="1:12" ht="12.75">
      <c r="A50" s="131">
        <f>F42</f>
        <v>310.6</v>
      </c>
      <c r="B50" s="135" t="s">
        <v>118</v>
      </c>
      <c r="C50" s="147" t="s">
        <v>184</v>
      </c>
      <c r="D50" s="150">
        <v>2.9</v>
      </c>
      <c r="F50" s="177"/>
      <c r="G50" s="178"/>
      <c r="H50" s="129"/>
      <c r="I50" s="150"/>
      <c r="L50"/>
    </row>
    <row r="51" spans="1:12" ht="12.75">
      <c r="A51" s="131">
        <f aca="true" t="shared" si="3" ref="A51:A61">A50+D50</f>
        <v>313.5</v>
      </c>
      <c r="B51" s="135" t="s">
        <v>118</v>
      </c>
      <c r="C51" s="147" t="s">
        <v>185</v>
      </c>
      <c r="D51" s="150">
        <v>2.6</v>
      </c>
      <c r="F51" s="131"/>
      <c r="G51" s="142"/>
      <c r="H51" s="129"/>
      <c r="I51" s="130"/>
      <c r="L51"/>
    </row>
    <row r="52" spans="1:12" ht="12.75">
      <c r="A52" s="131">
        <f t="shared" si="3"/>
        <v>316.1</v>
      </c>
      <c r="B52" s="139" t="s">
        <v>121</v>
      </c>
      <c r="C52" s="166" t="s">
        <v>186</v>
      </c>
      <c r="D52" s="150">
        <v>4</v>
      </c>
      <c r="F52" s="131"/>
      <c r="G52" s="128"/>
      <c r="H52" s="129"/>
      <c r="I52" s="130"/>
      <c r="L52"/>
    </row>
    <row r="53" spans="1:12" ht="12.75">
      <c r="A53" s="131">
        <f t="shared" si="3"/>
        <v>320.1</v>
      </c>
      <c r="B53" s="139" t="s">
        <v>115</v>
      </c>
      <c r="C53" s="166" t="s">
        <v>187</v>
      </c>
      <c r="D53" s="150">
        <v>1.6</v>
      </c>
      <c r="F53" s="131"/>
      <c r="G53" s="139"/>
      <c r="H53" s="179"/>
      <c r="I53" s="150"/>
      <c r="L53"/>
    </row>
    <row r="54" spans="1:12" ht="12.75" customHeight="1">
      <c r="A54" s="131">
        <f t="shared" si="3"/>
        <v>321.70000000000005</v>
      </c>
      <c r="B54" s="135" t="s">
        <v>121</v>
      </c>
      <c r="C54" s="147" t="s">
        <v>188</v>
      </c>
      <c r="D54" s="150">
        <v>1.4</v>
      </c>
      <c r="F54" s="177"/>
      <c r="G54" s="178"/>
      <c r="H54" s="129"/>
      <c r="I54" s="150"/>
      <c r="L54"/>
    </row>
    <row r="55" spans="1:12" ht="12.75" customHeight="1">
      <c r="A55" s="131">
        <f t="shared" si="3"/>
        <v>323.1</v>
      </c>
      <c r="B55" s="135" t="s">
        <v>115</v>
      </c>
      <c r="C55" s="140" t="s">
        <v>189</v>
      </c>
      <c r="D55" s="150">
        <v>1</v>
      </c>
      <c r="F55" s="131"/>
      <c r="G55" s="142"/>
      <c r="H55" s="180" t="s">
        <v>190</v>
      </c>
      <c r="I55" s="130"/>
      <c r="L55"/>
    </row>
    <row r="56" spans="1:12" ht="12.75">
      <c r="A56" s="131">
        <f t="shared" si="3"/>
        <v>324.1</v>
      </c>
      <c r="B56" s="135" t="s">
        <v>118</v>
      </c>
      <c r="C56" s="140" t="s">
        <v>191</v>
      </c>
      <c r="D56" s="150">
        <v>1.1</v>
      </c>
      <c r="F56" s="131"/>
      <c r="G56" s="128"/>
      <c r="H56" s="180"/>
      <c r="I56" s="130"/>
      <c r="L56"/>
    </row>
    <row r="57" spans="1:12" ht="12.75" customHeight="1">
      <c r="A57" s="131">
        <f t="shared" si="3"/>
        <v>325.20000000000005</v>
      </c>
      <c r="B57" s="135" t="s">
        <v>121</v>
      </c>
      <c r="C57" s="140" t="s">
        <v>192</v>
      </c>
      <c r="D57" s="150">
        <v>0.3</v>
      </c>
      <c r="F57" s="127"/>
      <c r="G57" s="142"/>
      <c r="H57" s="143"/>
      <c r="I57" s="130"/>
      <c r="L57"/>
    </row>
    <row r="58" spans="1:12" ht="12.75" customHeight="1">
      <c r="A58" s="131">
        <f t="shared" si="3"/>
        <v>325.50000000000006</v>
      </c>
      <c r="B58" s="181" t="s">
        <v>115</v>
      </c>
      <c r="C58" s="133" t="s">
        <v>193</v>
      </c>
      <c r="D58" s="150">
        <v>0</v>
      </c>
      <c r="F58" s="127"/>
      <c r="G58" s="142"/>
      <c r="H58" s="180" t="s">
        <v>194</v>
      </c>
      <c r="I58" s="130"/>
      <c r="L58"/>
    </row>
    <row r="59" spans="1:12" ht="12.75">
      <c r="A59" s="131">
        <f t="shared" si="3"/>
        <v>325.50000000000006</v>
      </c>
      <c r="B59" s="135" t="s">
        <v>118</v>
      </c>
      <c r="C59" s="147" t="s">
        <v>195</v>
      </c>
      <c r="D59" s="150">
        <v>1.1</v>
      </c>
      <c r="F59" s="127"/>
      <c r="G59" s="142"/>
      <c r="H59" s="180"/>
      <c r="I59" s="130"/>
      <c r="L59"/>
    </row>
    <row r="60" spans="1:12" ht="12.75" customHeight="1">
      <c r="A60" s="131">
        <f t="shared" si="3"/>
        <v>326.6000000000001</v>
      </c>
      <c r="B60" s="135" t="s">
        <v>118</v>
      </c>
      <c r="C60" s="147" t="s">
        <v>196</v>
      </c>
      <c r="D60" s="150">
        <v>1.3</v>
      </c>
      <c r="F60" s="127"/>
      <c r="G60" s="142"/>
      <c r="H60" s="143"/>
      <c r="I60" s="130"/>
      <c r="L60"/>
    </row>
    <row r="61" spans="1:9" ht="12.75" customHeight="1">
      <c r="A61" s="131">
        <f t="shared" si="3"/>
        <v>327.9000000000001</v>
      </c>
      <c r="B61" s="142" t="s">
        <v>115</v>
      </c>
      <c r="C61" s="140" t="s">
        <v>197</v>
      </c>
      <c r="D61" s="130">
        <v>1.3</v>
      </c>
      <c r="F61" s="127"/>
      <c r="G61" s="142"/>
      <c r="H61" s="180" t="s">
        <v>198</v>
      </c>
      <c r="I61" s="130"/>
    </row>
    <row r="62" spans="1:9" ht="12.75">
      <c r="A62" s="131"/>
      <c r="B62" s="142"/>
      <c r="C62" s="140" t="s">
        <v>199</v>
      </c>
      <c r="D62" s="130"/>
      <c r="F62" s="127"/>
      <c r="G62" s="142"/>
      <c r="H62" s="180"/>
      <c r="I62" s="130"/>
    </row>
    <row r="63" spans="1:9" ht="12.75">
      <c r="A63" s="131">
        <f>A61+D61</f>
        <v>329.2000000000001</v>
      </c>
      <c r="B63" s="142" t="s">
        <v>121</v>
      </c>
      <c r="C63" s="140" t="s">
        <v>200</v>
      </c>
      <c r="D63" s="130">
        <v>2.5</v>
      </c>
      <c r="F63" s="127"/>
      <c r="G63" s="139"/>
      <c r="H63" s="129"/>
      <c r="I63" s="150"/>
    </row>
    <row r="64" spans="1:9" ht="12.75">
      <c r="A64" s="131">
        <f aca="true" t="shared" si="4" ref="A64:A69">A63+D63</f>
        <v>331.7000000000001</v>
      </c>
      <c r="B64" s="142" t="s">
        <v>118</v>
      </c>
      <c r="C64" s="140" t="s">
        <v>201</v>
      </c>
      <c r="D64" s="130">
        <v>3.8</v>
      </c>
      <c r="F64" s="127"/>
      <c r="G64" s="139"/>
      <c r="H64" s="129"/>
      <c r="I64" s="150"/>
    </row>
    <row r="65" spans="1:9" ht="12.75">
      <c r="A65" s="131">
        <f t="shared" si="4"/>
        <v>335.5000000000001</v>
      </c>
      <c r="B65" s="142" t="s">
        <v>118</v>
      </c>
      <c r="C65" s="140" t="s">
        <v>202</v>
      </c>
      <c r="D65" s="130">
        <v>4.2</v>
      </c>
      <c r="F65" s="127"/>
      <c r="G65" s="139"/>
      <c r="H65" s="129"/>
      <c r="I65" s="150"/>
    </row>
    <row r="66" spans="1:9" ht="12.75">
      <c r="A66" s="131">
        <f t="shared" si="4"/>
        <v>339.7000000000001</v>
      </c>
      <c r="B66" s="139" t="s">
        <v>115</v>
      </c>
      <c r="C66" s="179" t="s">
        <v>177</v>
      </c>
      <c r="D66" s="137">
        <v>24.2</v>
      </c>
      <c r="F66" s="127"/>
      <c r="G66" s="139"/>
      <c r="H66" s="129"/>
      <c r="I66" s="150"/>
    </row>
    <row r="67" spans="1:9" ht="12.75">
      <c r="A67" s="131">
        <f t="shared" si="4"/>
        <v>363.9000000000001</v>
      </c>
      <c r="B67" s="139" t="s">
        <v>121</v>
      </c>
      <c r="C67" s="179" t="s">
        <v>203</v>
      </c>
      <c r="D67" s="150">
        <v>9.6</v>
      </c>
      <c r="F67" s="127"/>
      <c r="G67" s="139"/>
      <c r="H67" s="179"/>
      <c r="I67" s="150"/>
    </row>
    <row r="68" spans="1:9" ht="12.75">
      <c r="A68" s="131">
        <f t="shared" si="4"/>
        <v>373.5000000000001</v>
      </c>
      <c r="B68" s="139" t="s">
        <v>115</v>
      </c>
      <c r="C68" s="179" t="s">
        <v>204</v>
      </c>
      <c r="D68" s="150">
        <v>2.6</v>
      </c>
      <c r="F68" s="127"/>
      <c r="G68" s="139"/>
      <c r="H68" s="129"/>
      <c r="I68" s="150"/>
    </row>
    <row r="69" spans="1:9" ht="12.75">
      <c r="A69" s="177">
        <f t="shared" si="4"/>
        <v>376.10000000000014</v>
      </c>
      <c r="B69" s="178" t="s">
        <v>115</v>
      </c>
      <c r="C69" s="129" t="s">
        <v>205</v>
      </c>
      <c r="D69" s="150"/>
      <c r="F69" s="182"/>
      <c r="G69" s="183"/>
      <c r="H69" s="179"/>
      <c r="I69" s="130"/>
    </row>
    <row r="70" spans="1:9" ht="12.75">
      <c r="A70" s="131"/>
      <c r="B70" s="142"/>
      <c r="C70" s="129" t="s">
        <v>111</v>
      </c>
      <c r="D70" s="150"/>
      <c r="F70" s="182"/>
      <c r="G70" s="183"/>
      <c r="H70" s="129"/>
      <c r="I70" s="130"/>
    </row>
    <row r="71" spans="1:9" ht="12.75">
      <c r="A71" s="173"/>
      <c r="B71" s="157"/>
      <c r="C71" s="184" t="s">
        <v>113</v>
      </c>
      <c r="D71" s="159"/>
      <c r="F71" s="156"/>
      <c r="G71" s="157"/>
      <c r="H71" s="185"/>
      <c r="I71" s="159"/>
    </row>
    <row r="72" ht="3.75" customHeight="1"/>
    <row r="73" spans="1:9" ht="60.75">
      <c r="A73" s="123" t="s">
        <v>104</v>
      </c>
      <c r="B73" s="124" t="s">
        <v>105</v>
      </c>
      <c r="C73" s="125" t="s">
        <v>106</v>
      </c>
      <c r="D73" s="126" t="s">
        <v>107</v>
      </c>
      <c r="F73" s="123" t="s">
        <v>104</v>
      </c>
      <c r="G73" s="124" t="s">
        <v>105</v>
      </c>
      <c r="H73" s="125" t="s">
        <v>106</v>
      </c>
      <c r="I73" s="126" t="s">
        <v>107</v>
      </c>
    </row>
    <row r="74" spans="1:9" ht="12.75">
      <c r="A74" s="131">
        <f>A69</f>
        <v>376.10000000000014</v>
      </c>
      <c r="B74" s="139" t="s">
        <v>109</v>
      </c>
      <c r="C74" s="179" t="s">
        <v>206</v>
      </c>
      <c r="D74" s="137">
        <v>1.8</v>
      </c>
      <c r="F74" s="127">
        <f>A95+D95</f>
        <v>424.80000000000035</v>
      </c>
      <c r="G74" s="142" t="s">
        <v>115</v>
      </c>
      <c r="H74" s="171" t="s">
        <v>207</v>
      </c>
      <c r="I74" s="130">
        <v>2.5</v>
      </c>
    </row>
    <row r="75" spans="1:9" ht="12.75">
      <c r="A75" s="131">
        <f aca="true" t="shared" si="5" ref="A75:A92">A74+D74</f>
        <v>377.90000000000015</v>
      </c>
      <c r="B75" s="139" t="s">
        <v>115</v>
      </c>
      <c r="C75" s="179" t="s">
        <v>208</v>
      </c>
      <c r="D75" s="150">
        <v>0.2</v>
      </c>
      <c r="F75" s="127">
        <f aca="true" t="shared" si="6" ref="F75:F87">F74+I74</f>
        <v>427.30000000000035</v>
      </c>
      <c r="G75" s="172" t="s">
        <v>121</v>
      </c>
      <c r="H75" s="171" t="s">
        <v>209</v>
      </c>
      <c r="I75" s="150">
        <v>1.3</v>
      </c>
    </row>
    <row r="76" spans="1:9" ht="12.75">
      <c r="A76" s="131">
        <f t="shared" si="5"/>
        <v>378.10000000000014</v>
      </c>
      <c r="B76" s="139" t="s">
        <v>118</v>
      </c>
      <c r="C76" s="179" t="s">
        <v>210</v>
      </c>
      <c r="D76" s="150">
        <v>0.1</v>
      </c>
      <c r="F76" s="131">
        <f t="shared" si="6"/>
        <v>428.60000000000036</v>
      </c>
      <c r="G76" s="139" t="s">
        <v>118</v>
      </c>
      <c r="H76" s="143" t="s">
        <v>211</v>
      </c>
      <c r="I76" s="150">
        <v>1.3</v>
      </c>
    </row>
    <row r="77" spans="1:9" ht="12.75">
      <c r="A77" s="131">
        <f t="shared" si="5"/>
        <v>378.20000000000016</v>
      </c>
      <c r="B77" s="139" t="s">
        <v>121</v>
      </c>
      <c r="C77" s="179" t="s">
        <v>212</v>
      </c>
      <c r="D77" s="150">
        <v>0.2</v>
      </c>
      <c r="F77" s="131">
        <f t="shared" si="6"/>
        <v>429.9000000000004</v>
      </c>
      <c r="G77" s="139" t="s">
        <v>115</v>
      </c>
      <c r="H77" s="143" t="s">
        <v>213</v>
      </c>
      <c r="I77" s="150">
        <v>1.1</v>
      </c>
    </row>
    <row r="78" spans="1:9" ht="12.75">
      <c r="A78" s="131">
        <f t="shared" si="5"/>
        <v>378.40000000000015</v>
      </c>
      <c r="B78" s="139" t="s">
        <v>118</v>
      </c>
      <c r="C78" s="179" t="s">
        <v>214</v>
      </c>
      <c r="D78" s="150">
        <v>0.3</v>
      </c>
      <c r="F78" s="131">
        <f t="shared" si="6"/>
        <v>431.0000000000004</v>
      </c>
      <c r="G78" s="172" t="s">
        <v>115</v>
      </c>
      <c r="H78" s="171" t="s">
        <v>215</v>
      </c>
      <c r="I78" s="150">
        <v>0</v>
      </c>
    </row>
    <row r="79" spans="1:9" ht="12.75">
      <c r="A79" s="131">
        <f t="shared" si="5"/>
        <v>378.70000000000016</v>
      </c>
      <c r="B79" s="139" t="s">
        <v>121</v>
      </c>
      <c r="C79" s="179" t="s">
        <v>216</v>
      </c>
      <c r="D79" s="130">
        <v>9.6</v>
      </c>
      <c r="F79" s="131">
        <f t="shared" si="6"/>
        <v>431.0000000000004</v>
      </c>
      <c r="G79" s="139" t="s">
        <v>118</v>
      </c>
      <c r="H79" s="166" t="s">
        <v>217</v>
      </c>
      <c r="I79" s="150">
        <v>0.3</v>
      </c>
    </row>
    <row r="80" spans="1:9" ht="12.75">
      <c r="A80" s="131">
        <f t="shared" si="5"/>
        <v>388.3000000000002</v>
      </c>
      <c r="B80" s="139" t="s">
        <v>121</v>
      </c>
      <c r="C80" s="179" t="s">
        <v>203</v>
      </c>
      <c r="D80" s="150">
        <v>7.3</v>
      </c>
      <c r="F80" s="131">
        <f t="shared" si="6"/>
        <v>431.3000000000004</v>
      </c>
      <c r="G80" s="139" t="s">
        <v>121</v>
      </c>
      <c r="H80" s="166" t="s">
        <v>218</v>
      </c>
      <c r="I80" s="150">
        <v>1.1</v>
      </c>
    </row>
    <row r="81" spans="1:12" ht="12.75">
      <c r="A81" s="131">
        <f t="shared" si="5"/>
        <v>395.6000000000002</v>
      </c>
      <c r="B81" s="139" t="s">
        <v>121</v>
      </c>
      <c r="C81" s="143" t="s">
        <v>219</v>
      </c>
      <c r="D81" s="130">
        <v>2.2</v>
      </c>
      <c r="F81" s="131">
        <f t="shared" si="6"/>
        <v>432.40000000000043</v>
      </c>
      <c r="G81" s="142" t="s">
        <v>115</v>
      </c>
      <c r="H81" s="143" t="s">
        <v>220</v>
      </c>
      <c r="I81" s="150">
        <v>1</v>
      </c>
      <c r="L81"/>
    </row>
    <row r="82" spans="1:12" ht="12.75">
      <c r="A82" s="131">
        <f t="shared" si="5"/>
        <v>397.8000000000002</v>
      </c>
      <c r="B82" s="139" t="s">
        <v>121</v>
      </c>
      <c r="C82" s="143" t="s">
        <v>221</v>
      </c>
      <c r="D82" s="130">
        <v>0.6</v>
      </c>
      <c r="F82" s="131">
        <f t="shared" si="6"/>
        <v>433.40000000000043</v>
      </c>
      <c r="G82" s="135" t="s">
        <v>118</v>
      </c>
      <c r="H82" s="147" t="s">
        <v>222</v>
      </c>
      <c r="I82" s="150">
        <v>1.4</v>
      </c>
      <c r="L82"/>
    </row>
    <row r="83" spans="1:12" ht="12.75">
      <c r="A83" s="131">
        <f t="shared" si="5"/>
        <v>398.4000000000002</v>
      </c>
      <c r="B83" s="142" t="s">
        <v>118</v>
      </c>
      <c r="C83" s="143" t="s">
        <v>223</v>
      </c>
      <c r="D83" s="130">
        <v>0.1</v>
      </c>
      <c r="F83" s="131">
        <f t="shared" si="6"/>
        <v>434.8000000000004</v>
      </c>
      <c r="G83" s="128" t="s">
        <v>121</v>
      </c>
      <c r="H83" s="186" t="s">
        <v>224</v>
      </c>
      <c r="I83" s="130">
        <v>1.6</v>
      </c>
      <c r="L83"/>
    </row>
    <row r="84" spans="1:12" ht="12.75">
      <c r="A84" s="127">
        <f t="shared" si="5"/>
        <v>398.5000000000002</v>
      </c>
      <c r="B84" s="142" t="s">
        <v>115</v>
      </c>
      <c r="C84" s="143" t="s">
        <v>225</v>
      </c>
      <c r="D84" s="130">
        <v>1.1</v>
      </c>
      <c r="F84" s="131">
        <f t="shared" si="6"/>
        <v>436.40000000000043</v>
      </c>
      <c r="G84" s="128" t="s">
        <v>118</v>
      </c>
      <c r="H84" s="186" t="s">
        <v>226</v>
      </c>
      <c r="I84" s="130">
        <v>4</v>
      </c>
      <c r="L84"/>
    </row>
    <row r="85" spans="1:12" ht="12.75">
      <c r="A85" s="127">
        <f t="shared" si="5"/>
        <v>399.60000000000025</v>
      </c>
      <c r="B85" s="142" t="s">
        <v>118</v>
      </c>
      <c r="C85" s="143" t="s">
        <v>227</v>
      </c>
      <c r="D85" s="130">
        <v>0.6</v>
      </c>
      <c r="F85" s="131">
        <f t="shared" si="6"/>
        <v>440.40000000000043</v>
      </c>
      <c r="G85" s="142" t="s">
        <v>121</v>
      </c>
      <c r="H85" s="143" t="s">
        <v>228</v>
      </c>
      <c r="I85" s="130">
        <v>2.5</v>
      </c>
      <c r="L85"/>
    </row>
    <row r="86" spans="1:12" ht="12.75">
      <c r="A86" s="127">
        <f t="shared" si="5"/>
        <v>400.2000000000003</v>
      </c>
      <c r="B86" s="142" t="s">
        <v>118</v>
      </c>
      <c r="C86" s="143" t="s">
        <v>229</v>
      </c>
      <c r="D86" s="130">
        <v>0.1</v>
      </c>
      <c r="F86" s="131">
        <f t="shared" si="6"/>
        <v>442.90000000000043</v>
      </c>
      <c r="G86" s="128"/>
      <c r="H86" s="186" t="s">
        <v>230</v>
      </c>
      <c r="I86" s="130">
        <v>0.1</v>
      </c>
      <c r="L86"/>
    </row>
    <row r="87" spans="1:12" ht="12.75">
      <c r="A87" s="127">
        <f t="shared" si="5"/>
        <v>400.3000000000003</v>
      </c>
      <c r="B87" s="142" t="s">
        <v>115</v>
      </c>
      <c r="C87" s="143" t="s">
        <v>231</v>
      </c>
      <c r="D87" s="130">
        <v>2</v>
      </c>
      <c r="F87" s="131">
        <f t="shared" si="6"/>
        <v>443.00000000000045</v>
      </c>
      <c r="G87" s="142" t="s">
        <v>115</v>
      </c>
      <c r="H87" s="143" t="s">
        <v>232</v>
      </c>
      <c r="I87" s="130">
        <v>3</v>
      </c>
      <c r="L87"/>
    </row>
    <row r="88" spans="1:12" ht="12.75">
      <c r="A88" s="127">
        <f t="shared" si="5"/>
        <v>402.3000000000003</v>
      </c>
      <c r="B88" s="139" t="s">
        <v>115</v>
      </c>
      <c r="C88" s="166" t="s">
        <v>233</v>
      </c>
      <c r="D88" s="150">
        <v>2.3</v>
      </c>
      <c r="F88" s="131"/>
      <c r="G88" s="142"/>
      <c r="H88" s="143" t="s">
        <v>234</v>
      </c>
      <c r="I88" s="130"/>
      <c r="L88"/>
    </row>
    <row r="89" spans="1:12" ht="12.75">
      <c r="A89" s="127">
        <f t="shared" si="5"/>
        <v>404.6000000000003</v>
      </c>
      <c r="B89" s="139" t="s">
        <v>118</v>
      </c>
      <c r="C89" s="143" t="s">
        <v>235</v>
      </c>
      <c r="D89" s="150">
        <v>6.6</v>
      </c>
      <c r="F89" s="131"/>
      <c r="G89" s="142"/>
      <c r="H89" s="143"/>
      <c r="I89" s="130"/>
      <c r="L89"/>
    </row>
    <row r="90" spans="1:12" ht="12.75">
      <c r="A90" s="127">
        <f t="shared" si="5"/>
        <v>411.20000000000033</v>
      </c>
      <c r="B90" s="139" t="s">
        <v>115</v>
      </c>
      <c r="C90" s="179" t="s">
        <v>236</v>
      </c>
      <c r="D90" s="150">
        <v>2.9</v>
      </c>
      <c r="F90" s="149">
        <f>F87+I87</f>
        <v>446.00000000000045</v>
      </c>
      <c r="G90" s="129"/>
      <c r="H90" s="129" t="s">
        <v>237</v>
      </c>
      <c r="I90" s="130"/>
      <c r="L90"/>
    </row>
    <row r="91" spans="1:9" ht="12.75">
      <c r="A91" s="127">
        <f t="shared" si="5"/>
        <v>414.1000000000003</v>
      </c>
      <c r="B91" s="139" t="s">
        <v>118</v>
      </c>
      <c r="C91" s="179" t="s">
        <v>238</v>
      </c>
      <c r="D91" s="150">
        <v>1.6</v>
      </c>
      <c r="F91" s="149"/>
      <c r="G91" s="129"/>
      <c r="H91" s="129" t="s">
        <v>239</v>
      </c>
      <c r="I91" s="130"/>
    </row>
    <row r="92" spans="1:9" ht="12.75">
      <c r="A92" s="127">
        <f t="shared" si="5"/>
        <v>415.70000000000033</v>
      </c>
      <c r="B92" s="139" t="s">
        <v>115</v>
      </c>
      <c r="C92" s="179" t="s">
        <v>240</v>
      </c>
      <c r="D92" s="150">
        <v>1.1</v>
      </c>
      <c r="F92" s="127"/>
      <c r="G92" s="142"/>
      <c r="H92" s="138" t="s">
        <v>180</v>
      </c>
      <c r="I92" s="130"/>
    </row>
    <row r="93" spans="1:9" ht="12.75">
      <c r="A93" s="127"/>
      <c r="B93" s="139"/>
      <c r="C93" s="179" t="s">
        <v>241</v>
      </c>
      <c r="D93" s="150"/>
      <c r="F93" s="149"/>
      <c r="G93" s="129"/>
      <c r="H93" s="129"/>
      <c r="I93" s="130"/>
    </row>
    <row r="94" spans="1:9" ht="12.75">
      <c r="A94" s="182">
        <f>A92+D92</f>
        <v>416.80000000000035</v>
      </c>
      <c r="B94" s="183" t="s">
        <v>121</v>
      </c>
      <c r="C94" s="143" t="s">
        <v>242</v>
      </c>
      <c r="D94" s="130">
        <v>4.2</v>
      </c>
      <c r="F94" s="127"/>
      <c r="G94" s="142"/>
      <c r="H94" s="148" t="s">
        <v>183</v>
      </c>
      <c r="I94" s="130"/>
    </row>
    <row r="95" spans="1:9" ht="12.75">
      <c r="A95" s="187">
        <f>A94+D94</f>
        <v>421.00000000000034</v>
      </c>
      <c r="B95" s="188" t="s">
        <v>115</v>
      </c>
      <c r="C95" s="176" t="s">
        <v>243</v>
      </c>
      <c r="D95" s="159">
        <v>3.8</v>
      </c>
      <c r="F95" s="156"/>
      <c r="G95" s="157"/>
      <c r="H95" s="176"/>
      <c r="I95" s="159"/>
    </row>
    <row r="96" ht="5.25" customHeight="1"/>
    <row r="97" spans="1:9" ht="60.75">
      <c r="A97" s="123" t="s">
        <v>104</v>
      </c>
      <c r="B97" s="124" t="s">
        <v>105</v>
      </c>
      <c r="C97" s="125" t="s">
        <v>106</v>
      </c>
      <c r="D97" s="126" t="s">
        <v>107</v>
      </c>
      <c r="F97" s="123" t="s">
        <v>104</v>
      </c>
      <c r="G97" s="124" t="s">
        <v>105</v>
      </c>
      <c r="H97" s="125" t="s">
        <v>106</v>
      </c>
      <c r="I97" s="126" t="s">
        <v>107</v>
      </c>
    </row>
    <row r="98" spans="1:9" ht="12.75">
      <c r="A98" s="131">
        <f>F90</f>
        <v>446.00000000000045</v>
      </c>
      <c r="B98" s="142" t="s">
        <v>118</v>
      </c>
      <c r="C98" s="143" t="s">
        <v>244</v>
      </c>
      <c r="D98" s="130">
        <v>1.3</v>
      </c>
      <c r="F98" s="131">
        <f>A119</f>
        <v>482.1000000000006</v>
      </c>
      <c r="G98" s="142" t="s">
        <v>115</v>
      </c>
      <c r="H98" s="143" t="s">
        <v>245</v>
      </c>
      <c r="I98" s="130">
        <v>0.3</v>
      </c>
    </row>
    <row r="99" spans="1:12" ht="12.75">
      <c r="A99" s="131">
        <f aca="true" t="shared" si="7" ref="A99:A106">A98+D98</f>
        <v>447.30000000000047</v>
      </c>
      <c r="B99" s="142" t="s">
        <v>115</v>
      </c>
      <c r="C99" s="143" t="s">
        <v>246</v>
      </c>
      <c r="D99" s="130">
        <v>4.2</v>
      </c>
      <c r="F99" s="131">
        <f aca="true" t="shared" si="8" ref="F99:F105">F98+I98</f>
        <v>482.4000000000006</v>
      </c>
      <c r="G99" s="142" t="s">
        <v>118</v>
      </c>
      <c r="H99" s="143" t="s">
        <v>247</v>
      </c>
      <c r="I99" s="130">
        <v>1.8</v>
      </c>
      <c r="L99"/>
    </row>
    <row r="100" spans="1:12" ht="12.75">
      <c r="A100" s="131">
        <f t="shared" si="7"/>
        <v>451.50000000000045</v>
      </c>
      <c r="B100" s="142" t="s">
        <v>121</v>
      </c>
      <c r="C100" s="143" t="s">
        <v>248</v>
      </c>
      <c r="D100" s="130">
        <v>1.8</v>
      </c>
      <c r="F100" s="131">
        <f t="shared" si="8"/>
        <v>484.2000000000006</v>
      </c>
      <c r="G100" s="142" t="s">
        <v>121</v>
      </c>
      <c r="H100" s="143" t="s">
        <v>249</v>
      </c>
      <c r="I100" s="130">
        <v>0.2</v>
      </c>
      <c r="L100"/>
    </row>
    <row r="101" spans="1:12" ht="12.75">
      <c r="A101" s="131">
        <f t="shared" si="7"/>
        <v>453.30000000000047</v>
      </c>
      <c r="B101" s="142" t="s">
        <v>121</v>
      </c>
      <c r="C101" s="143" t="s">
        <v>250</v>
      </c>
      <c r="D101" s="130">
        <v>10.9</v>
      </c>
      <c r="F101" s="131">
        <f t="shared" si="8"/>
        <v>484.4000000000006</v>
      </c>
      <c r="G101" s="135" t="s">
        <v>118</v>
      </c>
      <c r="H101" s="147" t="s">
        <v>251</v>
      </c>
      <c r="I101" s="150">
        <v>0.8</v>
      </c>
      <c r="L101"/>
    </row>
    <row r="102" spans="1:12" ht="12.75">
      <c r="A102" s="131">
        <f t="shared" si="7"/>
        <v>464.20000000000044</v>
      </c>
      <c r="B102" s="142" t="s">
        <v>118</v>
      </c>
      <c r="C102" s="143" t="s">
        <v>252</v>
      </c>
      <c r="D102" s="130">
        <v>1.8</v>
      </c>
      <c r="F102" s="131">
        <f t="shared" si="8"/>
        <v>485.2000000000006</v>
      </c>
      <c r="G102" s="135" t="s">
        <v>115</v>
      </c>
      <c r="H102" s="147" t="s">
        <v>253</v>
      </c>
      <c r="I102" s="150">
        <v>0.6</v>
      </c>
      <c r="L102"/>
    </row>
    <row r="103" spans="1:12" ht="12.75">
      <c r="A103" s="131">
        <f t="shared" si="7"/>
        <v>466.00000000000045</v>
      </c>
      <c r="B103" s="139" t="s">
        <v>118</v>
      </c>
      <c r="C103" s="166" t="s">
        <v>254</v>
      </c>
      <c r="D103" s="150">
        <v>0.1</v>
      </c>
      <c r="F103" s="131">
        <f t="shared" si="8"/>
        <v>485.80000000000064</v>
      </c>
      <c r="G103" s="135" t="s">
        <v>118</v>
      </c>
      <c r="H103" s="140" t="s">
        <v>255</v>
      </c>
      <c r="I103" s="150">
        <v>2.3</v>
      </c>
      <c r="L103"/>
    </row>
    <row r="104" spans="1:12" ht="12.75">
      <c r="A104" s="131">
        <f t="shared" si="7"/>
        <v>466.1000000000005</v>
      </c>
      <c r="B104" s="139" t="s">
        <v>118</v>
      </c>
      <c r="C104" s="166" t="s">
        <v>256</v>
      </c>
      <c r="D104" s="150">
        <v>4.9</v>
      </c>
      <c r="F104" s="131">
        <f t="shared" si="8"/>
        <v>488.10000000000065</v>
      </c>
      <c r="G104" s="135" t="s">
        <v>115</v>
      </c>
      <c r="H104" s="140" t="s">
        <v>257</v>
      </c>
      <c r="I104" s="150">
        <v>0.4</v>
      </c>
      <c r="L104"/>
    </row>
    <row r="105" spans="1:12" ht="12.75">
      <c r="A105" s="131">
        <f t="shared" si="7"/>
        <v>471.00000000000045</v>
      </c>
      <c r="B105" s="139" t="s">
        <v>115</v>
      </c>
      <c r="C105" s="166" t="s">
        <v>252</v>
      </c>
      <c r="D105" s="150">
        <v>5.6</v>
      </c>
      <c r="F105" s="131">
        <f t="shared" si="8"/>
        <v>488.5000000000006</v>
      </c>
      <c r="G105" s="135" t="s">
        <v>115</v>
      </c>
      <c r="H105" s="140" t="s">
        <v>258</v>
      </c>
      <c r="I105" s="150">
        <v>2.3</v>
      </c>
      <c r="L105"/>
    </row>
    <row r="106" spans="1:12" ht="12.75">
      <c r="A106" s="131">
        <f t="shared" si="7"/>
        <v>476.6000000000005</v>
      </c>
      <c r="B106" s="139" t="s">
        <v>115</v>
      </c>
      <c r="C106" s="166" t="s">
        <v>259</v>
      </c>
      <c r="D106" s="150">
        <v>1</v>
      </c>
      <c r="F106" s="131"/>
      <c r="G106" s="135"/>
      <c r="H106" s="147" t="s">
        <v>260</v>
      </c>
      <c r="I106" s="150"/>
      <c r="L106"/>
    </row>
    <row r="107" spans="1:12" ht="12.75">
      <c r="A107" s="131"/>
      <c r="B107" s="163"/>
      <c r="C107" s="170" t="s">
        <v>169</v>
      </c>
      <c r="D107" s="130"/>
      <c r="F107" s="131">
        <f>F105+I105</f>
        <v>490.80000000000064</v>
      </c>
      <c r="G107" s="135" t="s">
        <v>121</v>
      </c>
      <c r="H107" s="140" t="s">
        <v>261</v>
      </c>
      <c r="I107" s="150">
        <v>1.2</v>
      </c>
      <c r="L107"/>
    </row>
    <row r="108" spans="1:12" ht="12.75">
      <c r="A108" s="131">
        <f>A106+D106</f>
        <v>477.6000000000005</v>
      </c>
      <c r="B108" s="163" t="s">
        <v>118</v>
      </c>
      <c r="C108" s="189" t="s">
        <v>262</v>
      </c>
      <c r="D108" s="130">
        <v>0.8</v>
      </c>
      <c r="F108" s="131"/>
      <c r="G108" s="142"/>
      <c r="H108" s="140"/>
      <c r="I108" s="130"/>
      <c r="L108"/>
    </row>
    <row r="109" spans="1:12" ht="12.75">
      <c r="A109" s="131">
        <f aca="true" t="shared" si="9" ref="A109:A118">A108+D108</f>
        <v>478.4000000000005</v>
      </c>
      <c r="B109" s="163" t="s">
        <v>118</v>
      </c>
      <c r="C109" s="189" t="s">
        <v>263</v>
      </c>
      <c r="D109" s="130">
        <v>2.4</v>
      </c>
      <c r="F109" s="177">
        <f>F107+I107</f>
        <v>492.0000000000006</v>
      </c>
      <c r="G109" s="190" t="s">
        <v>115</v>
      </c>
      <c r="H109" s="138" t="s">
        <v>264</v>
      </c>
      <c r="I109" s="191"/>
      <c r="L109"/>
    </row>
    <row r="110" spans="1:12" ht="12.75">
      <c r="A110" s="131">
        <f t="shared" si="9"/>
        <v>480.80000000000047</v>
      </c>
      <c r="B110" s="139" t="s">
        <v>121</v>
      </c>
      <c r="C110" s="166" t="s">
        <v>265</v>
      </c>
      <c r="D110" s="150">
        <v>0.2</v>
      </c>
      <c r="F110" s="192"/>
      <c r="G110" s="193"/>
      <c r="H110" s="193" t="s">
        <v>266</v>
      </c>
      <c r="I110" s="191"/>
      <c r="L110"/>
    </row>
    <row r="111" spans="1:12" ht="12.75">
      <c r="A111" s="131">
        <f t="shared" si="9"/>
        <v>481.00000000000045</v>
      </c>
      <c r="B111" s="163" t="s">
        <v>115</v>
      </c>
      <c r="C111" s="189" t="s">
        <v>267</v>
      </c>
      <c r="D111" s="130">
        <v>0.3</v>
      </c>
      <c r="F111" s="131"/>
      <c r="G111" s="135"/>
      <c r="H111" s="193" t="s">
        <v>268</v>
      </c>
      <c r="I111" s="150"/>
      <c r="L111"/>
    </row>
    <row r="112" spans="1:12" ht="12.75">
      <c r="A112" s="131">
        <f t="shared" si="9"/>
        <v>481.30000000000047</v>
      </c>
      <c r="B112" s="163" t="s">
        <v>118</v>
      </c>
      <c r="C112" s="189" t="s">
        <v>269</v>
      </c>
      <c r="D112" s="130">
        <v>0.1</v>
      </c>
      <c r="F112" s="131"/>
      <c r="G112" s="135"/>
      <c r="H112" s="138" t="s">
        <v>270</v>
      </c>
      <c r="I112" s="150"/>
      <c r="L112"/>
    </row>
    <row r="113" spans="1:12" ht="12.75">
      <c r="A113" s="131">
        <f t="shared" si="9"/>
        <v>481.4000000000005</v>
      </c>
      <c r="B113" s="163" t="s">
        <v>115</v>
      </c>
      <c r="C113" s="189" t="s">
        <v>271</v>
      </c>
      <c r="D113" s="130">
        <v>0.2</v>
      </c>
      <c r="F113" s="127"/>
      <c r="G113" s="142"/>
      <c r="H113" s="138"/>
      <c r="I113" s="130"/>
      <c r="L113"/>
    </row>
    <row r="114" spans="1:12" ht="12.75">
      <c r="A114" s="131">
        <f t="shared" si="9"/>
        <v>481.6000000000005</v>
      </c>
      <c r="B114" s="163" t="s">
        <v>118</v>
      </c>
      <c r="C114" s="189" t="s">
        <v>272</v>
      </c>
      <c r="D114" s="130">
        <v>0.1</v>
      </c>
      <c r="F114" s="127"/>
      <c r="G114" s="142"/>
      <c r="H114" s="148" t="s">
        <v>183</v>
      </c>
      <c r="I114" s="130"/>
      <c r="L114"/>
    </row>
    <row r="115" spans="1:12" ht="12.75">
      <c r="A115" s="131">
        <f t="shared" si="9"/>
        <v>481.7000000000005</v>
      </c>
      <c r="B115" s="163" t="s">
        <v>115</v>
      </c>
      <c r="C115" s="189" t="s">
        <v>273</v>
      </c>
      <c r="D115" s="130">
        <v>0.1</v>
      </c>
      <c r="F115" s="131"/>
      <c r="G115" s="139"/>
      <c r="H115" s="136"/>
      <c r="I115" s="150"/>
      <c r="L115"/>
    </row>
    <row r="116" spans="1:12" ht="12.75">
      <c r="A116" s="131">
        <f t="shared" si="9"/>
        <v>481.8000000000005</v>
      </c>
      <c r="B116" s="142" t="s">
        <v>118</v>
      </c>
      <c r="C116" s="143" t="s">
        <v>274</v>
      </c>
      <c r="D116" s="130">
        <v>0.1</v>
      </c>
      <c r="F116" s="131"/>
      <c r="G116" s="139"/>
      <c r="H116" s="148"/>
      <c r="I116" s="150"/>
      <c r="L116"/>
    </row>
    <row r="117" spans="1:12" ht="12.75">
      <c r="A117" s="131">
        <f t="shared" si="9"/>
        <v>481.90000000000055</v>
      </c>
      <c r="B117" s="142" t="s">
        <v>115</v>
      </c>
      <c r="C117" s="143" t="s">
        <v>275</v>
      </c>
      <c r="D117" s="130">
        <v>0.1</v>
      </c>
      <c r="F117" s="131"/>
      <c r="G117" s="139"/>
      <c r="H117" s="136"/>
      <c r="I117" s="150"/>
      <c r="L117"/>
    </row>
    <row r="118" spans="1:12" ht="12.75">
      <c r="A118" s="131">
        <f t="shared" si="9"/>
        <v>482.00000000000057</v>
      </c>
      <c r="B118" s="142" t="s">
        <v>118</v>
      </c>
      <c r="C118" s="143" t="s">
        <v>276</v>
      </c>
      <c r="D118" s="130">
        <v>0.1</v>
      </c>
      <c r="F118" s="131"/>
      <c r="G118" s="139"/>
      <c r="H118" s="148"/>
      <c r="I118" s="150"/>
      <c r="L118"/>
    </row>
    <row r="119" spans="1:12" ht="12.75">
      <c r="A119" s="173">
        <f>A118+D118</f>
        <v>482.1000000000006</v>
      </c>
      <c r="B119" s="157" t="s">
        <v>115</v>
      </c>
      <c r="C119" s="176" t="s">
        <v>277</v>
      </c>
      <c r="D119" s="159">
        <v>0.3</v>
      </c>
      <c r="F119" s="173"/>
      <c r="G119" s="157"/>
      <c r="H119" s="184"/>
      <c r="I119" s="159"/>
      <c r="L119"/>
    </row>
    <row r="120" ht="3.75" customHeight="1"/>
    <row r="121" spans="1:9" ht="60.75">
      <c r="A121" s="123" t="s">
        <v>104</v>
      </c>
      <c r="B121" s="124" t="s">
        <v>105</v>
      </c>
      <c r="C121" s="125" t="s">
        <v>106</v>
      </c>
      <c r="D121" s="126" t="s">
        <v>107</v>
      </c>
      <c r="F121" s="123" t="s">
        <v>104</v>
      </c>
      <c r="G121" s="124" t="s">
        <v>105</v>
      </c>
      <c r="H121" s="125" t="s">
        <v>106</v>
      </c>
      <c r="I121" s="126" t="s">
        <v>107</v>
      </c>
    </row>
    <row r="122" spans="1:9" ht="12.75">
      <c r="A122" s="131">
        <f>F109</f>
        <v>492.0000000000006</v>
      </c>
      <c r="B122" s="135" t="s">
        <v>115</v>
      </c>
      <c r="C122" s="147" t="s">
        <v>278</v>
      </c>
      <c r="D122" s="150">
        <v>0.3</v>
      </c>
      <c r="F122" s="182">
        <f>A132</f>
        <v>515.1000000000007</v>
      </c>
      <c r="G122" s="183" t="s">
        <v>115</v>
      </c>
      <c r="H122" s="143" t="s">
        <v>279</v>
      </c>
      <c r="I122" s="130">
        <v>0</v>
      </c>
    </row>
    <row r="123" spans="1:9" ht="12.75">
      <c r="A123" s="131">
        <f aca="true" t="shared" si="10" ref="A123:A130">A122+D122</f>
        <v>492.30000000000064</v>
      </c>
      <c r="B123" s="135" t="s">
        <v>118</v>
      </c>
      <c r="C123" s="147" t="s">
        <v>280</v>
      </c>
      <c r="D123" s="150">
        <v>0.4</v>
      </c>
      <c r="F123" s="182">
        <f aca="true" t="shared" si="11" ref="F123:F130">F122+I122</f>
        <v>515.1000000000007</v>
      </c>
      <c r="G123" s="183" t="s">
        <v>121</v>
      </c>
      <c r="H123" s="143" t="s">
        <v>159</v>
      </c>
      <c r="I123" s="130">
        <v>0.8</v>
      </c>
    </row>
    <row r="124" spans="1:9" ht="12.75">
      <c r="A124" s="131">
        <f t="shared" si="10"/>
        <v>492.7000000000006</v>
      </c>
      <c r="B124" s="139" t="s">
        <v>118</v>
      </c>
      <c r="C124" s="166" t="s">
        <v>281</v>
      </c>
      <c r="D124" s="150">
        <v>1.2</v>
      </c>
      <c r="F124" s="182">
        <f t="shared" si="11"/>
        <v>515.9000000000007</v>
      </c>
      <c r="G124" s="183" t="s">
        <v>115</v>
      </c>
      <c r="H124" s="143" t="s">
        <v>282</v>
      </c>
      <c r="I124" s="130">
        <v>68.7</v>
      </c>
    </row>
    <row r="125" spans="1:9" ht="12.75">
      <c r="A125" s="131">
        <f t="shared" si="10"/>
        <v>493.9000000000006</v>
      </c>
      <c r="B125" s="139" t="s">
        <v>121</v>
      </c>
      <c r="C125" s="166" t="s">
        <v>283</v>
      </c>
      <c r="D125" s="150">
        <v>0.6</v>
      </c>
      <c r="F125" s="182">
        <f t="shared" si="11"/>
        <v>584.6000000000007</v>
      </c>
      <c r="G125" s="142" t="s">
        <v>121</v>
      </c>
      <c r="H125" s="171" t="s">
        <v>284</v>
      </c>
      <c r="I125" s="130">
        <v>1</v>
      </c>
    </row>
    <row r="126" spans="1:9" ht="12.75">
      <c r="A126" s="131">
        <f t="shared" si="10"/>
        <v>494.5000000000006</v>
      </c>
      <c r="B126" s="135"/>
      <c r="C126" s="147" t="s">
        <v>285</v>
      </c>
      <c r="D126" s="150">
        <v>4.8</v>
      </c>
      <c r="F126" s="182">
        <f t="shared" si="11"/>
        <v>585.6000000000007</v>
      </c>
      <c r="G126" s="181" t="s">
        <v>121</v>
      </c>
      <c r="H126" s="147" t="s">
        <v>286</v>
      </c>
      <c r="I126" s="150">
        <v>6.7</v>
      </c>
    </row>
    <row r="127" spans="1:9" ht="12.75">
      <c r="A127" s="131">
        <f t="shared" si="10"/>
        <v>499.30000000000064</v>
      </c>
      <c r="B127" s="142" t="s">
        <v>115</v>
      </c>
      <c r="C127" s="140" t="s">
        <v>287</v>
      </c>
      <c r="D127" s="130">
        <v>13.4</v>
      </c>
      <c r="F127" s="182">
        <f t="shared" si="11"/>
        <v>592.3000000000008</v>
      </c>
      <c r="G127" s="135" t="s">
        <v>118</v>
      </c>
      <c r="H127" s="143" t="s">
        <v>288</v>
      </c>
      <c r="I127" s="150">
        <v>1.8</v>
      </c>
    </row>
    <row r="128" spans="1:9" ht="12.75">
      <c r="A128" s="131">
        <f t="shared" si="10"/>
        <v>512.7000000000006</v>
      </c>
      <c r="B128" s="142" t="s">
        <v>121</v>
      </c>
      <c r="C128" s="140" t="s">
        <v>289</v>
      </c>
      <c r="D128" s="130">
        <v>1.7</v>
      </c>
      <c r="F128" s="182">
        <f t="shared" si="11"/>
        <v>594.1000000000007</v>
      </c>
      <c r="G128" s="135" t="s">
        <v>118</v>
      </c>
      <c r="H128" s="143" t="s">
        <v>290</v>
      </c>
      <c r="I128" s="150">
        <v>2.2</v>
      </c>
    </row>
    <row r="129" spans="1:9" ht="12.75">
      <c r="A129" s="131">
        <f t="shared" si="10"/>
        <v>514.4000000000007</v>
      </c>
      <c r="B129" s="142" t="s">
        <v>118</v>
      </c>
      <c r="C129" s="140" t="s">
        <v>291</v>
      </c>
      <c r="D129" s="130">
        <v>0.6</v>
      </c>
      <c r="F129" s="182">
        <f t="shared" si="11"/>
        <v>596.3000000000008</v>
      </c>
      <c r="G129" s="172" t="s">
        <v>121</v>
      </c>
      <c r="H129" s="133" t="s">
        <v>292</v>
      </c>
      <c r="I129" s="150">
        <v>0.1</v>
      </c>
    </row>
    <row r="130" spans="1:9" ht="12.75">
      <c r="A130" s="131">
        <f t="shared" si="10"/>
        <v>515.0000000000007</v>
      </c>
      <c r="B130" s="142" t="s">
        <v>118</v>
      </c>
      <c r="C130" s="140" t="s">
        <v>291</v>
      </c>
      <c r="D130" s="130">
        <v>0.1</v>
      </c>
      <c r="F130" s="182">
        <f t="shared" si="11"/>
        <v>596.4000000000008</v>
      </c>
      <c r="G130" s="139" t="s">
        <v>118</v>
      </c>
      <c r="H130" s="166" t="s">
        <v>293</v>
      </c>
      <c r="I130" s="150">
        <v>2.5</v>
      </c>
    </row>
    <row r="131" spans="1:9" ht="12.75">
      <c r="A131" s="149"/>
      <c r="B131" s="129"/>
      <c r="C131" s="129"/>
      <c r="D131" s="130"/>
      <c r="F131" s="131"/>
      <c r="G131" s="139"/>
      <c r="H131" s="166" t="s">
        <v>294</v>
      </c>
      <c r="I131" s="150"/>
    </row>
    <row r="132" spans="1:9" ht="12.75">
      <c r="A132" s="149">
        <f>A130+D130</f>
        <v>515.1000000000007</v>
      </c>
      <c r="B132" s="129" t="s">
        <v>118</v>
      </c>
      <c r="C132" s="129" t="s">
        <v>295</v>
      </c>
      <c r="D132" s="130"/>
      <c r="F132" s="182">
        <f>F130+I130</f>
        <v>598.9000000000008</v>
      </c>
      <c r="G132" s="139" t="s">
        <v>121</v>
      </c>
      <c r="H132" s="166" t="s">
        <v>296</v>
      </c>
      <c r="I132" s="150">
        <v>1.1</v>
      </c>
    </row>
    <row r="133" spans="1:9" ht="12.75">
      <c r="A133" s="127"/>
      <c r="B133" s="142"/>
      <c r="C133" s="129" t="s">
        <v>164</v>
      </c>
      <c r="D133" s="130"/>
      <c r="F133" s="182">
        <f>F132+I132</f>
        <v>600.0000000000008</v>
      </c>
      <c r="G133" s="139" t="s">
        <v>118</v>
      </c>
      <c r="H133" s="166" t="s">
        <v>297</v>
      </c>
      <c r="I133" s="150">
        <v>4.3</v>
      </c>
    </row>
    <row r="134" spans="1:9" ht="12.75">
      <c r="A134" s="127"/>
      <c r="B134" s="142"/>
      <c r="C134" s="138" t="s">
        <v>166</v>
      </c>
      <c r="D134" s="130"/>
      <c r="F134" s="131"/>
      <c r="G134" s="139"/>
      <c r="H134" s="166" t="s">
        <v>298</v>
      </c>
      <c r="I134" s="150"/>
    </row>
    <row r="135" spans="1:9" ht="12.75">
      <c r="A135" s="131"/>
      <c r="B135" s="139"/>
      <c r="C135" s="168" t="s">
        <v>168</v>
      </c>
      <c r="D135" s="150"/>
      <c r="F135" s="131">
        <f>F133+I133</f>
        <v>604.3000000000008</v>
      </c>
      <c r="G135" s="142" t="s">
        <v>121</v>
      </c>
      <c r="H135" s="143" t="s">
        <v>299</v>
      </c>
      <c r="I135" s="150">
        <v>0.5</v>
      </c>
    </row>
    <row r="136" spans="1:9" ht="12.75">
      <c r="A136" s="131"/>
      <c r="B136" s="139"/>
      <c r="C136" s="136"/>
      <c r="D136" s="150"/>
      <c r="F136" s="131"/>
      <c r="G136" s="139"/>
      <c r="H136" s="166"/>
      <c r="I136" s="150"/>
    </row>
    <row r="137" spans="1:9" ht="12.75">
      <c r="A137" s="131"/>
      <c r="B137" s="139"/>
      <c r="C137" s="148" t="s">
        <v>183</v>
      </c>
      <c r="D137" s="150"/>
      <c r="F137" s="177">
        <f>F135+I135</f>
        <v>604.8000000000008</v>
      </c>
      <c r="G137" s="129" t="s">
        <v>118</v>
      </c>
      <c r="H137" s="138" t="s">
        <v>300</v>
      </c>
      <c r="I137" s="130"/>
    </row>
    <row r="138" spans="1:9" ht="12.75">
      <c r="A138" s="127"/>
      <c r="B138" s="142"/>
      <c r="C138" s="129"/>
      <c r="D138" s="130"/>
      <c r="F138" s="131"/>
      <c r="G138" s="142"/>
      <c r="H138" s="129" t="s">
        <v>111</v>
      </c>
      <c r="I138" s="130"/>
    </row>
    <row r="139" spans="1:9" ht="12.75">
      <c r="A139" s="127"/>
      <c r="B139" s="142"/>
      <c r="C139" s="138"/>
      <c r="D139" s="130"/>
      <c r="F139" s="131"/>
      <c r="G139" s="142"/>
      <c r="H139" s="129" t="s">
        <v>113</v>
      </c>
      <c r="I139" s="130"/>
    </row>
    <row r="140" spans="1:9" ht="12.75">
      <c r="A140" s="131"/>
      <c r="B140" s="139"/>
      <c r="C140" s="168"/>
      <c r="D140" s="150"/>
      <c r="F140" s="131"/>
      <c r="G140" s="142"/>
      <c r="H140" s="143"/>
      <c r="I140" s="130"/>
    </row>
    <row r="141" spans="1:9" ht="12.75">
      <c r="A141" s="131"/>
      <c r="B141" s="139"/>
      <c r="C141" s="136"/>
      <c r="D141" s="150"/>
      <c r="F141" s="131"/>
      <c r="G141" s="142"/>
      <c r="H141" s="194" t="s">
        <v>301</v>
      </c>
      <c r="I141" s="130"/>
    </row>
    <row r="142" spans="1:9" ht="12.75">
      <c r="A142" s="131"/>
      <c r="B142" s="139"/>
      <c r="C142" s="148"/>
      <c r="D142" s="150"/>
      <c r="F142" s="131"/>
      <c r="G142" s="142"/>
      <c r="H142" s="194"/>
      <c r="I142" s="130"/>
    </row>
    <row r="143" spans="1:9" ht="12.75">
      <c r="A143" s="156"/>
      <c r="B143" s="157"/>
      <c r="C143" s="176"/>
      <c r="D143" s="159"/>
      <c r="F143" s="156"/>
      <c r="G143" s="157"/>
      <c r="H143" s="176"/>
      <c r="I143" s="159"/>
    </row>
  </sheetData>
  <sheetProtection selectLockedCells="1" selectUnlockedCells="1"/>
  <mergeCells count="4">
    <mergeCell ref="H55:H56"/>
    <mergeCell ref="H58:H59"/>
    <mergeCell ref="H61:H62"/>
    <mergeCell ref="H141:H142"/>
  </mergeCells>
  <printOptions horizontalCentered="1" verticalCentered="1"/>
  <pageMargins left="0.5513888888888889" right="0.5513888888888889" top="0.35416666666666663" bottom="0.35416666666666663" header="0.2361111111111111" footer="0.2361111111111111"/>
  <pageSetup horizontalDpi="300" verticalDpi="300" orientation="portrait"/>
  <headerFooter alignWithMargins="0">
    <oddHeader>&amp;L&amp;8&amp;A&amp;C&amp;"Arial,Bold"Island 600 km BREVET&amp;R&amp;8Page &amp;P of &amp;N</oddHeader>
    <oddFooter>&amp;L&amp;8L = Left
SO = Straight on
R = Right&amp;CBC Randonneurs Cycling Club
&amp;8Affiliated with &amp;"Arial,Italic"Cycling BC
&amp;"Arial,Regular"Founding member of&amp;"Arial,Italic" Les Randonneurs Mondiaux&amp;Rcel:(250)246-0911</oddFooter>
  </headerFooter>
  <rowBreaks count="2" manualBreakCount="2">
    <brk id="48" max="255" man="1"/>
    <brk id="9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F92"/>
  <sheetViews>
    <sheetView workbookViewId="0" topLeftCell="A1">
      <selection activeCell="C15" sqref="C15"/>
    </sheetView>
  </sheetViews>
  <sheetFormatPr defaultColWidth="9.140625" defaultRowHeight="12.75"/>
  <cols>
    <col min="1" max="1" width="5.57421875" style="0" customWidth="1"/>
    <col min="2" max="2" width="3.28125" style="0" customWidth="1"/>
    <col min="3" max="3" width="30.8515625" style="0" customWidth="1"/>
    <col min="4" max="4" width="6.140625" style="0" customWidth="1"/>
    <col min="5" max="5" width="0" style="1" hidden="1" customWidth="1"/>
    <col min="6" max="6" width="18.140625" style="0" customWidth="1"/>
    <col min="7" max="7" width="5.57421875" style="0" customWidth="1"/>
    <col min="8" max="8" width="3.28125" style="0" customWidth="1"/>
    <col min="9" max="9" width="30.8515625" style="0" customWidth="1"/>
    <col min="10" max="11" width="6.140625" style="0" customWidth="1"/>
    <col min="12" max="16384" width="8.8515625" style="0" customWidth="1"/>
  </cols>
  <sheetData>
    <row r="1" spans="1:4" ht="38.25" customHeight="1">
      <c r="A1" s="123" t="s">
        <v>104</v>
      </c>
      <c r="B1" s="124" t="s">
        <v>105</v>
      </c>
      <c r="C1" s="125" t="s">
        <v>106</v>
      </c>
      <c r="D1" s="126" t="s">
        <v>107</v>
      </c>
    </row>
    <row r="2" spans="1:6" ht="12.75">
      <c r="A2" s="127"/>
      <c r="B2" s="128"/>
      <c r="C2" s="129" t="s">
        <v>302</v>
      </c>
      <c r="D2" s="130"/>
      <c r="E2" s="1" t="s">
        <v>303</v>
      </c>
      <c r="F2" s="1" t="s">
        <v>303</v>
      </c>
    </row>
    <row r="3" spans="1:6" ht="12.75">
      <c r="A3" s="127"/>
      <c r="B3" s="128"/>
      <c r="C3" s="129" t="s">
        <v>304</v>
      </c>
      <c r="D3" s="130"/>
      <c r="E3" s="1" t="s">
        <v>305</v>
      </c>
      <c r="F3" s="1" t="s">
        <v>305</v>
      </c>
    </row>
    <row r="4" spans="1:6" ht="12.75">
      <c r="A4" s="127"/>
      <c r="B4" s="128"/>
      <c r="C4" s="140"/>
      <c r="D4" s="130"/>
      <c r="E4" s="1" t="s">
        <v>306</v>
      </c>
      <c r="F4" s="1" t="s">
        <v>306</v>
      </c>
    </row>
    <row r="5" spans="1:6" ht="12.75">
      <c r="A5" s="127">
        <v>0</v>
      </c>
      <c r="B5" s="128" t="s">
        <v>115</v>
      </c>
      <c r="C5" s="140" t="s">
        <v>307</v>
      </c>
      <c r="D5" s="130">
        <v>28</v>
      </c>
      <c r="E5" s="1" t="s">
        <v>308</v>
      </c>
      <c r="F5" s="1" t="s">
        <v>308</v>
      </c>
    </row>
    <row r="6" spans="1:6" ht="12.75">
      <c r="A6" s="127">
        <f>A5+D5</f>
        <v>28</v>
      </c>
      <c r="B6" s="128" t="s">
        <v>121</v>
      </c>
      <c r="C6" s="140" t="s">
        <v>309</v>
      </c>
      <c r="D6" s="130">
        <v>18.8</v>
      </c>
      <c r="E6" s="1" t="s">
        <v>310</v>
      </c>
      <c r="F6" s="1" t="s">
        <v>310</v>
      </c>
    </row>
    <row r="7" spans="1:5" ht="12.75">
      <c r="A7" s="127">
        <f aca="true" t="shared" si="0" ref="A7:A13">A6+D6</f>
        <v>46.8</v>
      </c>
      <c r="B7" s="142" t="s">
        <v>121</v>
      </c>
      <c r="C7" s="143" t="s">
        <v>311</v>
      </c>
      <c r="D7" s="130">
        <v>27.5</v>
      </c>
      <c r="E7"/>
    </row>
    <row r="8" spans="1:6" ht="12.75">
      <c r="A8" s="127">
        <f t="shared" si="0"/>
        <v>74.3</v>
      </c>
      <c r="B8" s="142" t="s">
        <v>121</v>
      </c>
      <c r="C8" s="143" t="s">
        <v>312</v>
      </c>
      <c r="D8" s="130">
        <v>17</v>
      </c>
      <c r="E8" s="1" t="s">
        <v>313</v>
      </c>
      <c r="F8" s="1" t="s">
        <v>313</v>
      </c>
    </row>
    <row r="9" spans="1:6" ht="12.75">
      <c r="A9" s="131">
        <f t="shared" si="0"/>
        <v>91.3</v>
      </c>
      <c r="B9" s="135" t="s">
        <v>121</v>
      </c>
      <c r="C9" s="147" t="s">
        <v>314</v>
      </c>
      <c r="D9" s="150">
        <v>1.6</v>
      </c>
      <c r="E9" s="1" t="s">
        <v>315</v>
      </c>
      <c r="F9" s="1" t="s">
        <v>315</v>
      </c>
    </row>
    <row r="10" spans="1:6" ht="12.75">
      <c r="A10" s="131">
        <f t="shared" si="0"/>
        <v>92.89999999999999</v>
      </c>
      <c r="B10" s="128" t="s">
        <v>121</v>
      </c>
      <c r="C10" s="140" t="s">
        <v>316</v>
      </c>
      <c r="D10" s="150">
        <v>3.5</v>
      </c>
      <c r="E10" s="1" t="s">
        <v>317</v>
      </c>
      <c r="F10" s="1" t="s">
        <v>317</v>
      </c>
    </row>
    <row r="11" spans="1:6" ht="12.75">
      <c r="A11" s="131">
        <f t="shared" si="0"/>
        <v>96.39999999999999</v>
      </c>
      <c r="B11" s="195" t="s">
        <v>121</v>
      </c>
      <c r="C11" s="189" t="s">
        <v>318</v>
      </c>
      <c r="D11" s="150">
        <v>1.6</v>
      </c>
      <c r="E11" s="1" t="s">
        <v>319</v>
      </c>
      <c r="F11" s="1" t="s">
        <v>319</v>
      </c>
    </row>
    <row r="12" spans="1:6" ht="12.75">
      <c r="A12" s="131">
        <f t="shared" si="0"/>
        <v>97.99999999999999</v>
      </c>
      <c r="B12" s="135" t="s">
        <v>121</v>
      </c>
      <c r="C12" s="135" t="s">
        <v>320</v>
      </c>
      <c r="D12" s="150">
        <v>1</v>
      </c>
      <c r="E12" s="1" t="s">
        <v>321</v>
      </c>
      <c r="F12" s="1" t="s">
        <v>321</v>
      </c>
    </row>
    <row r="13" spans="1:6" ht="12.75">
      <c r="A13" s="131">
        <f t="shared" si="0"/>
        <v>98.99999999999999</v>
      </c>
      <c r="B13" s="128" t="s">
        <v>121</v>
      </c>
      <c r="C13" s="140" t="s">
        <v>322</v>
      </c>
      <c r="D13" s="150">
        <v>0.5</v>
      </c>
      <c r="E13" s="1" t="s">
        <v>323</v>
      </c>
      <c r="F13" s="1" t="s">
        <v>323</v>
      </c>
    </row>
    <row r="14" spans="1:6" ht="12.75">
      <c r="A14" s="131"/>
      <c r="B14" s="139"/>
      <c r="C14" s="166"/>
      <c r="D14" s="150"/>
      <c r="E14"/>
      <c r="F14" s="1"/>
    </row>
    <row r="15" spans="1:6" ht="12.75">
      <c r="A15" s="177">
        <f>A13+D13</f>
        <v>99.49999999999999</v>
      </c>
      <c r="B15" s="190" t="s">
        <v>118</v>
      </c>
      <c r="C15" s="193" t="s">
        <v>324</v>
      </c>
      <c r="D15" s="196">
        <v>0</v>
      </c>
      <c r="F15" s="1" t="s">
        <v>325</v>
      </c>
    </row>
    <row r="16" spans="1:6" ht="12.75">
      <c r="A16" s="131"/>
      <c r="B16" s="135"/>
      <c r="C16" s="193" t="s">
        <v>326</v>
      </c>
      <c r="D16" s="150"/>
      <c r="F16" s="1"/>
    </row>
    <row r="17" spans="1:6" ht="12.75">
      <c r="A17" s="131"/>
      <c r="B17" s="139"/>
      <c r="C17" s="197"/>
      <c r="D17" s="150"/>
      <c r="F17" s="1"/>
    </row>
    <row r="18" spans="1:6" ht="12.75">
      <c r="A18" s="127">
        <f>A15+D15</f>
        <v>99.49999999999999</v>
      </c>
      <c r="B18" s="139" t="s">
        <v>118</v>
      </c>
      <c r="C18" s="166" t="s">
        <v>327</v>
      </c>
      <c r="D18" s="150">
        <v>0.8</v>
      </c>
      <c r="F18" s="1"/>
    </row>
    <row r="19" spans="1:6" ht="12.75">
      <c r="A19" s="127">
        <f>A18+D18</f>
        <v>100.29999999999998</v>
      </c>
      <c r="B19" s="135" t="s">
        <v>121</v>
      </c>
      <c r="C19" s="147" t="s">
        <v>328</v>
      </c>
      <c r="D19" s="150">
        <v>10.5</v>
      </c>
      <c r="E19" s="1" t="s">
        <v>325</v>
      </c>
      <c r="F19" s="1" t="s">
        <v>325</v>
      </c>
    </row>
    <row r="20" spans="1:4" ht="12.75">
      <c r="A20" s="127">
        <f>A19+D19</f>
        <v>110.79999999999998</v>
      </c>
      <c r="B20" s="135" t="s">
        <v>121</v>
      </c>
      <c r="C20" s="147" t="s">
        <v>329</v>
      </c>
      <c r="D20" s="150">
        <v>21.9</v>
      </c>
    </row>
    <row r="21" spans="1:4" ht="12.75">
      <c r="A21" s="127">
        <f>A20+D20</f>
        <v>132.7</v>
      </c>
      <c r="B21" s="128" t="s">
        <v>115</v>
      </c>
      <c r="C21" s="140" t="s">
        <v>330</v>
      </c>
      <c r="D21" s="130">
        <v>0.8</v>
      </c>
    </row>
    <row r="22" spans="1:5" ht="12.75">
      <c r="A22" s="127">
        <f>A21+D21</f>
        <v>133.5</v>
      </c>
      <c r="B22" s="142" t="s">
        <v>118</v>
      </c>
      <c r="C22" s="143" t="s">
        <v>331</v>
      </c>
      <c r="D22" s="130">
        <v>9.6</v>
      </c>
      <c r="E22"/>
    </row>
    <row r="23" spans="1:4" ht="12.75">
      <c r="A23" s="198">
        <f>A22+D22</f>
        <v>143.1</v>
      </c>
      <c r="B23" s="157" t="s">
        <v>118</v>
      </c>
      <c r="C23" s="176" t="s">
        <v>332</v>
      </c>
      <c r="D23" s="159">
        <v>35.2</v>
      </c>
    </row>
    <row r="24" spans="1:4" ht="40.5" customHeight="1">
      <c r="A24" s="123" t="s">
        <v>104</v>
      </c>
      <c r="B24" s="124" t="s">
        <v>105</v>
      </c>
      <c r="C24" s="125" t="s">
        <v>106</v>
      </c>
      <c r="D24" s="126" t="s">
        <v>107</v>
      </c>
    </row>
    <row r="25" spans="1:6" ht="12.75">
      <c r="A25" s="149">
        <f>A23+D23</f>
        <v>178.3</v>
      </c>
      <c r="B25" s="199" t="s">
        <v>118</v>
      </c>
      <c r="C25" s="200" t="s">
        <v>333</v>
      </c>
      <c r="D25" s="201">
        <v>0</v>
      </c>
      <c r="E25" s="1" t="s">
        <v>325</v>
      </c>
      <c r="F25" s="1" t="s">
        <v>325</v>
      </c>
    </row>
    <row r="26" spans="1:4" ht="12.75">
      <c r="A26" s="127"/>
      <c r="B26" s="129"/>
      <c r="C26" s="129" t="s">
        <v>334</v>
      </c>
      <c r="D26" s="169"/>
    </row>
    <row r="27" spans="1:4" ht="12.75">
      <c r="A27" s="127"/>
      <c r="B27" s="129"/>
      <c r="C27" s="202"/>
      <c r="D27" s="169"/>
    </row>
    <row r="28" spans="1:4" ht="12.75">
      <c r="A28" s="127"/>
      <c r="B28" s="129"/>
      <c r="C28" s="202" t="s">
        <v>335</v>
      </c>
      <c r="D28" s="169"/>
    </row>
    <row r="29" spans="1:4" ht="12.75">
      <c r="A29" s="127"/>
      <c r="B29" s="142"/>
      <c r="C29" s="143"/>
      <c r="D29" s="130"/>
    </row>
    <row r="30" spans="1:4" ht="12.75">
      <c r="A30" s="127">
        <f>A25+D25</f>
        <v>178.3</v>
      </c>
      <c r="B30" s="142" t="s">
        <v>118</v>
      </c>
      <c r="C30" s="140" t="s">
        <v>336</v>
      </c>
      <c r="D30" s="130">
        <v>0.2</v>
      </c>
    </row>
    <row r="31" spans="1:4" ht="12.75">
      <c r="A31" s="127">
        <f>A30+D30</f>
        <v>178.5</v>
      </c>
      <c r="B31" s="142" t="s">
        <v>115</v>
      </c>
      <c r="C31" s="203" t="s">
        <v>337</v>
      </c>
      <c r="D31" s="130">
        <v>2.7</v>
      </c>
    </row>
    <row r="32" spans="1:4" ht="12.75">
      <c r="A32" s="127">
        <f>A31+D31</f>
        <v>181.2</v>
      </c>
      <c r="B32" s="142" t="s">
        <v>121</v>
      </c>
      <c r="C32" s="203" t="s">
        <v>338</v>
      </c>
      <c r="D32" s="130">
        <v>88.2</v>
      </c>
    </row>
    <row r="33" spans="1:4" ht="12.75">
      <c r="A33" s="127">
        <f>A32+D32</f>
        <v>269.4</v>
      </c>
      <c r="B33" s="142" t="s">
        <v>115</v>
      </c>
      <c r="C33" s="203" t="s">
        <v>339</v>
      </c>
      <c r="D33" s="130">
        <v>29.7</v>
      </c>
    </row>
    <row r="34" spans="1:4" ht="12.75">
      <c r="A34" s="127">
        <f>A33+D33</f>
        <v>299.09999999999997</v>
      </c>
      <c r="B34" s="142" t="s">
        <v>121</v>
      </c>
      <c r="C34" s="203" t="s">
        <v>340</v>
      </c>
      <c r="D34" s="130">
        <v>3.2</v>
      </c>
    </row>
    <row r="35" spans="1:4" ht="12.75">
      <c r="A35" s="127"/>
      <c r="B35" s="142"/>
      <c r="C35" s="143"/>
      <c r="D35" s="130"/>
    </row>
    <row r="36" spans="1:6" ht="12.75">
      <c r="A36" s="149">
        <f>A34+D34</f>
        <v>302.29999999999995</v>
      </c>
      <c r="B36" s="142"/>
      <c r="C36" s="129" t="s">
        <v>341</v>
      </c>
      <c r="D36" s="130"/>
      <c r="F36" s="1" t="s">
        <v>325</v>
      </c>
    </row>
    <row r="37" spans="1:4" ht="12.75">
      <c r="A37" s="127"/>
      <c r="B37" s="142"/>
      <c r="C37" s="138" t="s">
        <v>342</v>
      </c>
      <c r="D37" s="130"/>
    </row>
    <row r="38" spans="1:5" ht="12.75">
      <c r="A38" s="127"/>
      <c r="B38" s="142"/>
      <c r="C38" s="128"/>
      <c r="D38" s="130"/>
      <c r="E38" s="1" t="s">
        <v>325</v>
      </c>
    </row>
    <row r="39" spans="1:4" ht="12.75">
      <c r="A39" s="127"/>
      <c r="B39" s="142"/>
      <c r="C39" s="140" t="s">
        <v>343</v>
      </c>
      <c r="D39" s="130"/>
    </row>
    <row r="40" spans="1:4" ht="12.75">
      <c r="A40" s="127"/>
      <c r="B40" s="142"/>
      <c r="C40" s="143" t="s">
        <v>344</v>
      </c>
      <c r="D40" s="130"/>
    </row>
    <row r="41" spans="1:4" ht="12.75">
      <c r="A41" s="127"/>
      <c r="B41" s="142"/>
      <c r="C41" s="143" t="s">
        <v>345</v>
      </c>
      <c r="D41" s="130"/>
    </row>
    <row r="42" spans="1:4" ht="12.75">
      <c r="A42" s="127"/>
      <c r="B42" s="142"/>
      <c r="C42" s="143"/>
      <c r="D42" s="130"/>
    </row>
    <row r="43" spans="1:4" ht="12.75">
      <c r="A43" s="127"/>
      <c r="B43" s="142"/>
      <c r="C43" s="143"/>
      <c r="D43" s="130"/>
    </row>
    <row r="44" spans="1:4" ht="12.75">
      <c r="A44" s="127"/>
      <c r="B44" s="142"/>
      <c r="C44" s="143"/>
      <c r="D44" s="130"/>
    </row>
    <row r="45" spans="1:4" ht="12.75">
      <c r="A45" s="127"/>
      <c r="B45" s="142" t="s">
        <v>109</v>
      </c>
      <c r="C45" s="143" t="s">
        <v>346</v>
      </c>
      <c r="D45" s="130">
        <v>3.2</v>
      </c>
    </row>
    <row r="46" spans="1:4" ht="12.75">
      <c r="A46" s="156">
        <f>A36+D45</f>
        <v>305.49999999999994</v>
      </c>
      <c r="B46" s="157" t="s">
        <v>121</v>
      </c>
      <c r="C46" s="176" t="s">
        <v>347</v>
      </c>
      <c r="D46" s="159">
        <v>29.7</v>
      </c>
    </row>
    <row r="47" spans="1:4" ht="37.5" customHeight="1">
      <c r="A47" s="123" t="s">
        <v>104</v>
      </c>
      <c r="B47" s="124" t="s">
        <v>105</v>
      </c>
      <c r="C47" s="125" t="s">
        <v>106</v>
      </c>
      <c r="D47" s="126" t="s">
        <v>107</v>
      </c>
    </row>
    <row r="48" spans="1:4" ht="12.75">
      <c r="A48" s="127">
        <f>A46+D46</f>
        <v>335.19999999999993</v>
      </c>
      <c r="B48" s="142" t="s">
        <v>118</v>
      </c>
      <c r="C48" s="143" t="s">
        <v>348</v>
      </c>
      <c r="D48" s="130">
        <v>88.2</v>
      </c>
    </row>
    <row r="49" spans="1:5" ht="12.75">
      <c r="A49" s="127">
        <f>A48+D48</f>
        <v>423.3999999999999</v>
      </c>
      <c r="B49" s="142" t="s">
        <v>121</v>
      </c>
      <c r="C49" s="143" t="s">
        <v>337</v>
      </c>
      <c r="D49" s="130">
        <v>2.7</v>
      </c>
      <c r="E49"/>
    </row>
    <row r="50" spans="1:4" ht="12.75">
      <c r="A50" s="127">
        <f>A49+D49</f>
        <v>426.0999999999999</v>
      </c>
      <c r="B50" s="142" t="s">
        <v>118</v>
      </c>
      <c r="C50" s="143" t="s">
        <v>349</v>
      </c>
      <c r="D50" s="130">
        <v>0.2</v>
      </c>
    </row>
    <row r="51" spans="1:4" ht="12.75">
      <c r="A51" s="127"/>
      <c r="B51" s="142"/>
      <c r="C51" s="143"/>
      <c r="D51" s="130"/>
    </row>
    <row r="52" spans="1:6" ht="12.75">
      <c r="A52" s="167">
        <f>A50+D50</f>
        <v>426.2999999999999</v>
      </c>
      <c r="B52" s="178" t="s">
        <v>115</v>
      </c>
      <c r="C52" s="129" t="s">
        <v>350</v>
      </c>
      <c r="D52" s="169">
        <v>0</v>
      </c>
      <c r="E52" s="1" t="s">
        <v>325</v>
      </c>
      <c r="F52" s="1" t="s">
        <v>325</v>
      </c>
    </row>
    <row r="53" spans="1:4" ht="12.75">
      <c r="A53" s="149"/>
      <c r="B53" s="129"/>
      <c r="C53" s="129" t="s">
        <v>334</v>
      </c>
      <c r="D53" s="169"/>
    </row>
    <row r="54" spans="1:4" ht="12.75">
      <c r="A54" s="127"/>
      <c r="B54" s="142"/>
      <c r="C54" s="143"/>
      <c r="D54" s="130"/>
    </row>
    <row r="55" spans="1:4" ht="12.75">
      <c r="A55" s="127">
        <f>A52+D52</f>
        <v>426.2999999999999</v>
      </c>
      <c r="B55" s="142" t="s">
        <v>115</v>
      </c>
      <c r="C55" s="143" t="s">
        <v>349</v>
      </c>
      <c r="D55" s="130">
        <v>35.2</v>
      </c>
    </row>
    <row r="56" spans="1:4" ht="12.75">
      <c r="A56" s="127">
        <f>A55+D55</f>
        <v>461.4999999999999</v>
      </c>
      <c r="B56" s="142" t="s">
        <v>115</v>
      </c>
      <c r="C56" s="143" t="s">
        <v>351</v>
      </c>
      <c r="D56" s="130">
        <v>9.1</v>
      </c>
    </row>
    <row r="57" spans="1:4" ht="12.75">
      <c r="A57" s="127">
        <f>A56+D56</f>
        <v>470.5999999999999</v>
      </c>
      <c r="B57" s="142" t="s">
        <v>115</v>
      </c>
      <c r="C57" s="143" t="s">
        <v>352</v>
      </c>
      <c r="D57" s="130">
        <v>22.4</v>
      </c>
    </row>
    <row r="58" spans="1:4" ht="12.75">
      <c r="A58" s="127">
        <f>A57+D57</f>
        <v>492.9999999999999</v>
      </c>
      <c r="B58" s="142" t="s">
        <v>115</v>
      </c>
      <c r="C58" s="143" t="s">
        <v>353</v>
      </c>
      <c r="D58" s="130">
        <v>0.7</v>
      </c>
    </row>
    <row r="59" spans="1:4" ht="12.75">
      <c r="A59" s="127">
        <f>A58+D58</f>
        <v>493.6999999999999</v>
      </c>
      <c r="B59" s="135" t="s">
        <v>121</v>
      </c>
      <c r="C59" s="147" t="s">
        <v>354</v>
      </c>
      <c r="D59" s="150">
        <v>10.5</v>
      </c>
    </row>
    <row r="60" spans="1:4" ht="12.75">
      <c r="A60" s="127">
        <f>A59+D59</f>
        <v>504.1999999999999</v>
      </c>
      <c r="B60" s="135" t="s">
        <v>121</v>
      </c>
      <c r="C60" s="140" t="s">
        <v>355</v>
      </c>
      <c r="D60" s="150">
        <v>0.8</v>
      </c>
    </row>
    <row r="61" spans="1:5" ht="12.75">
      <c r="A61" s="149"/>
      <c r="B61" s="135"/>
      <c r="C61" s="204"/>
      <c r="D61" s="150"/>
      <c r="E61" s="1" t="s">
        <v>325</v>
      </c>
    </row>
    <row r="62" spans="1:6" ht="12.75">
      <c r="A62" s="149">
        <f>A60+D60</f>
        <v>504.9999999999999</v>
      </c>
      <c r="B62" s="168" t="s">
        <v>115</v>
      </c>
      <c r="C62" s="193" t="s">
        <v>356</v>
      </c>
      <c r="D62" s="196">
        <v>0</v>
      </c>
      <c r="F62" s="1" t="s">
        <v>325</v>
      </c>
    </row>
    <row r="63" spans="1:5" ht="12.75">
      <c r="A63" s="127"/>
      <c r="B63" s="139"/>
      <c r="C63" s="193" t="s">
        <v>326</v>
      </c>
      <c r="D63" s="150"/>
      <c r="E63"/>
    </row>
    <row r="64" spans="1:4" ht="12.75">
      <c r="A64" s="127"/>
      <c r="B64" s="139"/>
      <c r="C64" s="197"/>
      <c r="D64" s="150"/>
    </row>
    <row r="65" spans="1:4" ht="12.75">
      <c r="A65" s="127"/>
      <c r="B65" s="142"/>
      <c r="C65" s="143"/>
      <c r="D65" s="130"/>
    </row>
    <row r="66" spans="1:4" ht="12.75">
      <c r="A66" s="131">
        <f>A62+D62</f>
        <v>504.9999999999999</v>
      </c>
      <c r="B66" s="172" t="s">
        <v>115</v>
      </c>
      <c r="C66" s="171" t="s">
        <v>357</v>
      </c>
      <c r="D66" s="150">
        <v>0.5</v>
      </c>
    </row>
    <row r="67" spans="1:4" ht="12.75">
      <c r="A67" s="131">
        <f>A66+D66</f>
        <v>505.4999999999999</v>
      </c>
      <c r="B67" s="139" t="s">
        <v>121</v>
      </c>
      <c r="C67" s="143" t="s">
        <v>358</v>
      </c>
      <c r="D67" s="150">
        <v>1</v>
      </c>
    </row>
    <row r="68" spans="1:4" ht="12.75">
      <c r="A68" s="131">
        <f>A67+D67</f>
        <v>506.4999999999999</v>
      </c>
      <c r="B68" s="139" t="s">
        <v>121</v>
      </c>
      <c r="C68" s="143" t="s">
        <v>359</v>
      </c>
      <c r="D68" s="150">
        <v>1.6</v>
      </c>
    </row>
    <row r="69" spans="1:4" ht="12.75">
      <c r="A69" s="173">
        <f>A68+D68</f>
        <v>508.0999999999999</v>
      </c>
      <c r="B69" s="205" t="s">
        <v>121</v>
      </c>
      <c r="C69" s="185" t="s">
        <v>360</v>
      </c>
      <c r="D69" s="175">
        <v>3.5</v>
      </c>
    </row>
    <row r="70" spans="1:4" ht="35.25" customHeight="1">
      <c r="A70" s="123" t="s">
        <v>104</v>
      </c>
      <c r="B70" s="124" t="s">
        <v>105</v>
      </c>
      <c r="C70" s="125" t="s">
        <v>106</v>
      </c>
      <c r="D70" s="126" t="s">
        <v>107</v>
      </c>
    </row>
    <row r="71" spans="1:4" ht="12.75">
      <c r="A71" s="131">
        <f>A69+D69</f>
        <v>511.5999999999999</v>
      </c>
      <c r="B71" s="139" t="s">
        <v>121</v>
      </c>
      <c r="C71" s="166" t="s">
        <v>361</v>
      </c>
      <c r="D71" s="150">
        <v>1.6</v>
      </c>
    </row>
    <row r="72" spans="1:4" ht="12.75">
      <c r="A72" s="131">
        <f aca="true" t="shared" si="1" ref="A72:A81">A71+D71</f>
        <v>513.1999999999999</v>
      </c>
      <c r="B72" s="139" t="s">
        <v>121</v>
      </c>
      <c r="C72" s="166" t="s">
        <v>362</v>
      </c>
      <c r="D72" s="150">
        <v>17</v>
      </c>
    </row>
    <row r="73" spans="1:4" ht="12.75">
      <c r="A73" s="131">
        <f t="shared" si="1"/>
        <v>530.1999999999999</v>
      </c>
      <c r="B73" s="142" t="s">
        <v>121</v>
      </c>
      <c r="C73" s="143" t="s">
        <v>363</v>
      </c>
      <c r="D73" s="150">
        <v>27.5</v>
      </c>
    </row>
    <row r="74" spans="1:4" ht="12.75">
      <c r="A74" s="131">
        <f t="shared" si="1"/>
        <v>557.6999999999999</v>
      </c>
      <c r="B74" s="142" t="s">
        <v>121</v>
      </c>
      <c r="C74" s="206" t="s">
        <v>364</v>
      </c>
      <c r="D74" s="130">
        <v>11.2</v>
      </c>
    </row>
    <row r="75" spans="1:4" ht="12.75">
      <c r="A75" s="131">
        <f t="shared" si="1"/>
        <v>568.9</v>
      </c>
      <c r="B75" s="142" t="s">
        <v>115</v>
      </c>
      <c r="C75" s="143" t="s">
        <v>365</v>
      </c>
      <c r="D75" s="130">
        <v>2.6</v>
      </c>
    </row>
    <row r="76" spans="1:4" ht="12.75">
      <c r="A76" s="131">
        <f t="shared" si="1"/>
        <v>571.5</v>
      </c>
      <c r="B76" s="142" t="s">
        <v>121</v>
      </c>
      <c r="C76" s="143" t="s">
        <v>366</v>
      </c>
      <c r="D76" s="130">
        <v>4.5</v>
      </c>
    </row>
    <row r="77" spans="1:4" ht="12.75">
      <c r="A77" s="131">
        <f t="shared" si="1"/>
        <v>576</v>
      </c>
      <c r="B77" s="142" t="s">
        <v>118</v>
      </c>
      <c r="C77" s="206" t="s">
        <v>367</v>
      </c>
      <c r="D77" s="130">
        <v>2.7</v>
      </c>
    </row>
    <row r="78" spans="1:4" ht="12.75">
      <c r="A78" s="131">
        <f t="shared" si="1"/>
        <v>578.7</v>
      </c>
      <c r="B78" s="142" t="s">
        <v>115</v>
      </c>
      <c r="C78" s="206" t="s">
        <v>368</v>
      </c>
      <c r="D78" s="130">
        <v>0.9</v>
      </c>
    </row>
    <row r="79" spans="1:5" ht="12.75">
      <c r="A79" s="131">
        <f t="shared" si="1"/>
        <v>579.6</v>
      </c>
      <c r="B79" s="142" t="s">
        <v>115</v>
      </c>
      <c r="C79" s="143" t="s">
        <v>369</v>
      </c>
      <c r="D79" s="130">
        <v>10.6</v>
      </c>
      <c r="E79" s="1" t="s">
        <v>325</v>
      </c>
    </row>
    <row r="80" spans="1:4" ht="12.75">
      <c r="A80" s="131">
        <f t="shared" si="1"/>
        <v>590.2</v>
      </c>
      <c r="B80" s="142" t="s">
        <v>115</v>
      </c>
      <c r="C80" s="143" t="s">
        <v>370</v>
      </c>
      <c r="D80" s="130">
        <v>15.5</v>
      </c>
    </row>
    <row r="81" spans="1:4" ht="12.75">
      <c r="A81" s="131">
        <f t="shared" si="1"/>
        <v>605.7</v>
      </c>
      <c r="B81" s="142" t="s">
        <v>118</v>
      </c>
      <c r="C81" s="143" t="s">
        <v>371</v>
      </c>
      <c r="D81" s="130">
        <v>0</v>
      </c>
    </row>
    <row r="82" spans="1:4" ht="12.75">
      <c r="A82" s="127"/>
      <c r="B82" s="142"/>
      <c r="C82" s="143"/>
      <c r="D82" s="130"/>
    </row>
    <row r="83" spans="1:6" ht="12.75">
      <c r="A83" s="149">
        <f>A81+D81</f>
        <v>605.7</v>
      </c>
      <c r="B83" s="129" t="s">
        <v>118</v>
      </c>
      <c r="C83" s="129" t="s">
        <v>372</v>
      </c>
      <c r="D83" s="169"/>
      <c r="E83"/>
      <c r="F83" s="1" t="s">
        <v>325</v>
      </c>
    </row>
    <row r="84" spans="1:4" ht="12.75">
      <c r="A84" s="149"/>
      <c r="B84" s="129"/>
      <c r="C84" s="129" t="s">
        <v>304</v>
      </c>
      <c r="D84" s="169"/>
    </row>
    <row r="85" spans="1:4" ht="12.75">
      <c r="A85" s="127"/>
      <c r="B85" s="142"/>
      <c r="C85" s="142"/>
      <c r="D85" s="130"/>
    </row>
    <row r="86" spans="1:4" ht="12.75">
      <c r="A86" s="127"/>
      <c r="B86" s="142"/>
      <c r="C86" s="143"/>
      <c r="D86" s="130"/>
    </row>
    <row r="87" spans="1:4" ht="12.75">
      <c r="A87" s="127"/>
      <c r="B87" s="142"/>
      <c r="C87" s="143"/>
      <c r="D87" s="130"/>
    </row>
    <row r="88" spans="1:4" ht="12.75">
      <c r="A88" s="127"/>
      <c r="B88" s="142"/>
      <c r="C88" s="207" t="s">
        <v>373</v>
      </c>
      <c r="D88" s="130"/>
    </row>
    <row r="89" spans="1:4" ht="12.75">
      <c r="A89" s="127"/>
      <c r="B89" s="142"/>
      <c r="C89" s="143"/>
      <c r="D89" s="130"/>
    </row>
    <row r="90" spans="1:4" ht="12.75">
      <c r="A90" s="127"/>
      <c r="B90" s="142"/>
      <c r="C90" s="143"/>
      <c r="D90" s="130"/>
    </row>
    <row r="91" spans="1:4" ht="12.75">
      <c r="A91" s="127"/>
      <c r="B91" s="142"/>
      <c r="C91" s="207"/>
      <c r="D91" s="130"/>
    </row>
    <row r="92" spans="1:4" ht="12.75">
      <c r="A92" s="156"/>
      <c r="B92" s="157"/>
      <c r="C92" s="176"/>
      <c r="D92" s="159"/>
    </row>
  </sheetData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"/>
  <sheetViews>
    <sheetView workbookViewId="0" topLeftCell="A1">
      <selection activeCell="A1" sqref="A1"/>
    </sheetView>
  </sheetViews>
  <sheetFormatPr defaultColWidth="9.140625" defaultRowHeight="12.75"/>
  <cols>
    <col min="1" max="1" width="8.28125" style="0" customWidth="1"/>
    <col min="2" max="2" width="12.28125" style="0" customWidth="1"/>
    <col min="3" max="3" width="0.5625" style="0" customWidth="1"/>
    <col min="4" max="16384" width="8.8515625" style="0" customWidth="1"/>
  </cols>
  <sheetData>
    <row r="1" spans="1:4" ht="15">
      <c r="A1" s="208" t="str">
        <f>Brevet_Number</f>
        <v>VI0607A</v>
      </c>
      <c r="B1" s="208"/>
      <c r="C1" s="208"/>
      <c r="D1" s="208"/>
    </row>
    <row r="2" spans="1:4" ht="15">
      <c r="A2" s="209" t="s">
        <v>374</v>
      </c>
      <c r="B2" s="209"/>
      <c r="C2" s="210"/>
      <c r="D2" s="211" t="s">
        <v>375</v>
      </c>
    </row>
    <row r="3" spans="1:5" ht="12.75">
      <c r="A3" s="81">
        <f>Riders!C4</f>
        <v>0</v>
      </c>
      <c r="B3" s="31">
        <f>Riders!B4</f>
        <v>0</v>
      </c>
      <c r="C3" s="31"/>
      <c r="D3" s="212">
        <f>Riders!O4</f>
        <v>0</v>
      </c>
      <c r="E3">
        <f>IF(ISBLANK(Riders!P4),"",Riders!P4)</f>
      </c>
    </row>
    <row r="4" spans="1:4" ht="12.75">
      <c r="A4" s="86"/>
      <c r="B4" s="73"/>
      <c r="C4" s="73"/>
      <c r="D4" s="213"/>
    </row>
    <row r="7" ht="12.75">
      <c r="A7" t="s">
        <v>376</v>
      </c>
    </row>
    <row r="8" ht="12.75">
      <c r="A8" t="s">
        <v>377</v>
      </c>
    </row>
    <row r="9" ht="12.75">
      <c r="A9" t="s">
        <v>378</v>
      </c>
    </row>
    <row r="10" ht="12.75">
      <c r="A10" t="s">
        <v>379</v>
      </c>
    </row>
  </sheetData>
  <sheetProtection selectLockedCells="1" selectUnlockedCells="1"/>
  <mergeCells count="2">
    <mergeCell ref="A1:D1"/>
    <mergeCell ref="A2:B2"/>
  </mergeCells>
  <printOptions/>
  <pageMargins left="0.7479166666666667" right="0.7479166666666667" top="0.9847222222222222" bottom="0.9840277777777777" header="0.31527777777777777" footer="0.5118055555555555"/>
  <pageSetup fitToHeight="1" fitToWidth="1" horizontalDpi="300" verticalDpi="300" orientation="portrait"/>
  <headerFooter alignWithMargins="0">
    <oddHeader>&amp;C&amp;"Arial,Bold"&amp;12RESULTS
&amp;"Arial,Regular"&amp;10Nanaimo Populaire
15th  March, 1998</oddHeader>
    <oddFooter>&amp;L&amp;F
&amp;A&amp;CPage &amp;P&amp;R&amp;D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Stephen Hinde</dc:creator>
  <cp:keywords/>
  <dc:description/>
  <cp:lastModifiedBy>Stephan</cp:lastModifiedBy>
  <cp:lastPrinted>2005-05-20T04:01:47Z</cp:lastPrinted>
  <dcterms:created xsi:type="dcterms:W3CDTF">1997-11-12T04:43:39Z</dcterms:created>
  <dcterms:modified xsi:type="dcterms:W3CDTF">2010-07-09T04:12:14Z</dcterms:modified>
  <cp:category/>
  <cp:version/>
  <cp:contentType/>
  <cp:contentStatus/>
</cp:coreProperties>
</file>