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601A 300509" sheetId="4" r:id="rId4"/>
    <sheet name="Web sheet" sheetId="5" r:id="rId5"/>
    <sheet name="Web results" sheetId="6" r:id="rId6"/>
  </sheets>
  <externalReferences>
    <externalReference r:id="rId9"/>
  </externalReferences>
  <definedNames>
    <definedName name="Address_1">'Riders'!$E$2</definedName>
    <definedName name="Address_2">'Riders'!$F$2</definedName>
    <definedName name="Address_3_6">'[1]Riders'!#REF!</definedName>
    <definedName name="Address_4_6">'[1]Riders'!#REF!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<sst xmlns="http://schemas.openxmlformats.org/spreadsheetml/2006/main" count="555" uniqueCount="223">
  <si>
    <t>Brevet Length:</t>
  </si>
  <si>
    <t>Maximum Time:</t>
  </si>
  <si>
    <t>Brevet Description:</t>
  </si>
  <si>
    <t>Nanaimo -- Tofino -- Parksville -- Lake Cowichan -- Duncan -- Mill Bay -- Nanaimo</t>
  </si>
  <si>
    <t>Brevet Number:</t>
  </si>
  <si>
    <t>VI0601A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</si>
  <si>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</si>
  <si>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</si>
  <si>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</si>
  <si>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</si>
  <si>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</si>
  <si>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</si>
  <si>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</si>
  <si>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</si>
  <si>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</si>
  <si>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</si>
  <si>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</si>
  <si>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</si>
  <si>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</si>
  <si>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NANAIMO</t>
  </si>
  <si>
    <t>Tim Horton's</t>
  </si>
  <si>
    <t>Wallace @</t>
  </si>
  <si>
    <t>Comox</t>
  </si>
  <si>
    <t>Control 2</t>
  </si>
  <si>
    <t>PORT ALBERNI</t>
  </si>
  <si>
    <t>7 -- 11</t>
  </si>
  <si>
    <t>Highway #4 @</t>
  </si>
  <si>
    <t>Gertrude</t>
  </si>
  <si>
    <t>Control 3</t>
  </si>
  <si>
    <t>TOFINO</t>
  </si>
  <si>
    <t>Your choice</t>
  </si>
  <si>
    <t>4th</t>
  </si>
  <si>
    <t>Control 4</t>
  </si>
  <si>
    <t>Control 5</t>
  </si>
  <si>
    <t>PARKSVILLE</t>
  </si>
  <si>
    <t>Chevron</t>
  </si>
  <si>
    <t>Highway #19A @</t>
  </si>
  <si>
    <t>Alberni Hwy</t>
  </si>
  <si>
    <t>Control 6</t>
  </si>
  <si>
    <t xml:space="preserve">Wallace @ </t>
  </si>
  <si>
    <t>Control 7</t>
  </si>
  <si>
    <t>LAKE COWICHAN</t>
  </si>
  <si>
    <t>Esso Gas</t>
  </si>
  <si>
    <t>165 Lake Cowichan</t>
  </si>
  <si>
    <t>Control 8</t>
  </si>
  <si>
    <t>MILL BAY</t>
  </si>
  <si>
    <t>Tim Hortons</t>
  </si>
  <si>
    <t xml:space="preserve">Deloume </t>
  </si>
  <si>
    <t>Control 9</t>
  </si>
  <si>
    <t>Control 10</t>
  </si>
  <si>
    <t>SECRET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</si>
  <si>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</si>
  <si>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</si>
  <si>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</si>
  <si>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</si>
  <si>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</si>
  <si>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</si>
  <si>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</si>
  <si>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</si>
  <si>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</si>
  <si>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</si>
  <si>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</si>
  <si>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</si>
  <si>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</si>
  <si>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</si>
  <si>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</si>
  <si>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</si>
  <si>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</si>
  <si>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</si>
  <si>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</si>
  <si>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</si>
  <si>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</si>
  <si>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</si>
  <si>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</si>
  <si>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</si>
  <si>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</si>
  <si>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</si>
  <si>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</si>
  <si>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Q: What club is up MacDonald Rd.?</t>
  </si>
  <si>
    <t>A: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</si>
  <si>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</si>
  <si>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</si>
  <si>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</si>
  <si>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</si>
  <si>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</si>
  <si>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</si>
  <si>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</si>
  <si>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 361-7622</t>
  </si>
  <si>
    <t>msg(250) 388-5365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</si>
  <si>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</si>
  <si>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</si>
  <si>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</si>
  <si>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</si>
  <si>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</si>
  <si>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</si>
  <si>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</si>
  <si>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</si>
  <si>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</si>
  <si>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</si>
  <si>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</si>
  <si>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</si>
  <si>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</si>
  <si>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</si>
  <si>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</si>
  <si>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</si>
  <si>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</si>
  <si>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</si>
  <si>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</si>
  <si>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</si>
  <si>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</si>
  <si>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</si>
  <si>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START--Tim Horton's, Nanaimo</t>
  </si>
  <si>
    <t>L</t>
  </si>
  <si>
    <t>HWY #4 (to Tofino)</t>
  </si>
  <si>
    <t>Comox @ Wallace</t>
  </si>
  <si>
    <t>R</t>
  </si>
  <si>
    <t>RIVER (Hwy #4)</t>
  </si>
  <si>
    <t>SO</t>
  </si>
  <si>
    <t xml:space="preserve">HWY #4 </t>
  </si>
  <si>
    <t>WALLACE</t>
  </si>
  <si>
    <t>HWY #4 (Pacific Rim Hwy)</t>
  </si>
  <si>
    <t>CAMPBELL</t>
  </si>
  <si>
    <t>CAMPBELL (enter Tofino)</t>
  </si>
  <si>
    <t>MACHLEARY (@ stop)</t>
  </si>
  <si>
    <t>BOWEN (@ light)</t>
  </si>
  <si>
    <t>CONTROL #2--Your choice, Tofino</t>
  </si>
  <si>
    <t>NORWELL (@ lights)</t>
  </si>
  <si>
    <t>Campbell (Hwy #4) @ 4th</t>
  </si>
  <si>
    <t>N. ISLAND HWY (HWY #19A)</t>
  </si>
  <si>
    <t xml:space="preserve">SO </t>
  </si>
  <si>
    <t>HWY #19</t>
  </si>
  <si>
    <t>Exit 51 to HWY #4A (to Coombs)</t>
  </si>
  <si>
    <t>U</t>
  </si>
  <si>
    <t>U-turn back to Port Alberni</t>
  </si>
  <si>
    <t>ALBERNI HWY (Hwy #4A)</t>
  </si>
  <si>
    <t>HWY #4</t>
  </si>
  <si>
    <t>ALBERNI HWY (Hwy #4)(Memorial)</t>
  </si>
  <si>
    <t>HWY #4 (to Port Alberni)</t>
  </si>
  <si>
    <t>CONTROL #1--7-11, Port Alberni</t>
  </si>
  <si>
    <t>HWY #4 (to Nanaimo)</t>
  </si>
  <si>
    <t>Hwy #4 @ Gertrude</t>
  </si>
  <si>
    <t>CONTROL #3--7-11, Port Alberni</t>
  </si>
  <si>
    <t>Caution:  No services until Tofino</t>
  </si>
  <si>
    <t>ALBERNI HWY (Hwy #4A)(Coombs)</t>
  </si>
  <si>
    <t>COMOX</t>
  </si>
  <si>
    <t>ALBERNI HWY (under Hwy #19)</t>
  </si>
  <si>
    <t>TERMINAL (Hwy #19A south)</t>
  </si>
  <si>
    <t>NICOL (Hwy #1)(@Commercial)</t>
  </si>
  <si>
    <t>CONTROL #4--Chevron, Parksville</t>
  </si>
  <si>
    <t>HWY #1 (Hwy #19A)</t>
  </si>
  <si>
    <t>Alberni Hwy @ Hwy #19A</t>
  </si>
  <si>
    <t>HWY #1 (Hwy #19)</t>
  </si>
  <si>
    <t>HWY #1 (south towards Victoria)</t>
  </si>
  <si>
    <t>HWY #19A (south)</t>
  </si>
  <si>
    <t>South through Ladysmith</t>
  </si>
  <si>
    <t>HWY #19 (south to Nanaimo)</t>
  </si>
  <si>
    <t>South past Chemainus</t>
  </si>
  <si>
    <t>HWY #19A (exit 29)</t>
  </si>
  <si>
    <t>HERD (Hwy #18 to Lake Cowichan)</t>
  </si>
  <si>
    <t>cross Hwy #19 (Nanaimo Pkwy)</t>
  </si>
  <si>
    <t>COWICHANVALLEYHWY(Hwy #18)</t>
  </si>
  <si>
    <t>BOWEN (@ lights)</t>
  </si>
  <si>
    <t>COWICHAN LAKE (flashing light)</t>
  </si>
  <si>
    <t>COMOX (@ lights)</t>
  </si>
  <si>
    <t>CONTROL #6--Esso, LakeCowichan</t>
  </si>
  <si>
    <t>165 Lake Cowichan Rd. @ MacDonald</t>
  </si>
  <si>
    <t>CONTROL #5 Tim Horton's, Nanaimo</t>
  </si>
  <si>
    <t>Answer question on control card</t>
  </si>
  <si>
    <t>See sign @ corner of MacDonald</t>
  </si>
  <si>
    <t>&amp; Lk. Cowichan</t>
  </si>
  <si>
    <t>return to Duncan</t>
  </si>
  <si>
    <t>DELOUME (return to hwy)</t>
  </si>
  <si>
    <t>GREENDALE</t>
  </si>
  <si>
    <t>HWY #1 (@ lights)</t>
  </si>
  <si>
    <t>OLD COWICHAN LAKE</t>
  </si>
  <si>
    <t>north through Duncan</t>
  </si>
  <si>
    <t xml:space="preserve"> cross Skutz Falls </t>
  </si>
  <si>
    <t>north through Ladysmith</t>
  </si>
  <si>
    <t>HWY #1 (Hwy #19)(top of hill)</t>
  </si>
  <si>
    <t>OLD COWICHAN LAKE (at stop)</t>
  </si>
  <si>
    <t>HWY #1(Hwy #19A) (into Nanaimo)</t>
  </si>
  <si>
    <t>SHERMAN (@ roundabout)</t>
  </si>
  <si>
    <t>HALLIBURTON</t>
  </si>
  <si>
    <t>CANADA (@ roundabout)</t>
  </si>
  <si>
    <t>MILTON (@ stop)</t>
  </si>
  <si>
    <t>HWY #1</t>
  </si>
  <si>
    <t>Cross Hwy #1 (Nicol) (@ lights)</t>
  </si>
  <si>
    <t>continue south through Duncan</t>
  </si>
  <si>
    <t>MILTON</t>
  </si>
  <si>
    <t>DELOUME (Mill Bay)</t>
  </si>
  <si>
    <t>CONTROL #7--Tim Hortons, Mill Bay</t>
  </si>
  <si>
    <t>Hwy #1 @ Deloume</t>
  </si>
  <si>
    <t>FINISH--Tim Horton's, Nanaimo</t>
  </si>
  <si>
    <t>!!! CONGRATULATIONS !!!</t>
  </si>
  <si>
    <t>Go to 100 km point</t>
  </si>
  <si>
    <t>Go to 200 km point</t>
  </si>
  <si>
    <t>Go to 300 km point</t>
  </si>
  <si>
    <t>Go to 400 km point</t>
  </si>
  <si>
    <t>Go to 500 km point</t>
  </si>
  <si>
    <t>Go to Control #1</t>
  </si>
  <si>
    <t>Go to Control #2</t>
  </si>
  <si>
    <t>Go to Control #3</t>
  </si>
  <si>
    <t>Go to Control #4</t>
  </si>
  <si>
    <t>Exit to HWY #4A (to Coombs)</t>
  </si>
  <si>
    <t>Go to Control #5</t>
  </si>
  <si>
    <t>Go to Control #6</t>
  </si>
  <si>
    <t>Go to Control #7</t>
  </si>
  <si>
    <t>Go to Finish</t>
  </si>
  <si>
    <t>Return to start</t>
  </si>
  <si>
    <t>(If control closed)</t>
  </si>
  <si>
    <t>OLD COWICHAN LAKE (at store) ?</t>
  </si>
  <si>
    <t>CAMPBELL (@ stop)</t>
  </si>
  <si>
    <t>RIDER</t>
  </si>
  <si>
    <t>TIME</t>
  </si>
  <si>
    <t>Ken Bonner</t>
  </si>
  <si>
    <t>Graham Fishloch</t>
  </si>
  <si>
    <t>Dierdre Arscott</t>
  </si>
  <si>
    <t>Lindsay Martin</t>
  </si>
  <si>
    <t>Peter Stary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</si>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</sst>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  <numFmt numFmtId="176" formatCode="[H]:MM:SS"/>
  </numFmts>
  <fonts count="19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4" fontId="0" fillId="0" borderId="11" xfId="0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10" fillId="0" borderId="17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left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9" fontId="13" fillId="3" borderId="8" xfId="0" applyNumberFormat="1" applyFont="1" applyFill="1" applyBorder="1" applyAlignment="1">
      <alignment horizontal="right" textRotation="90" wrapText="1"/>
    </xf>
    <xf numFmtId="166" fontId="13" fillId="3" borderId="23" xfId="0" applyNumberFormat="1" applyFont="1" applyFill="1" applyBorder="1" applyAlignment="1">
      <alignment horizontal="center" textRotation="90"/>
    </xf>
    <xf numFmtId="166" fontId="13" fillId="3" borderId="24" xfId="0" applyNumberFormat="1" applyFont="1" applyFill="1" applyBorder="1" applyAlignment="1">
      <alignment horizontal="center" wrapText="1"/>
    </xf>
    <xf numFmtId="169" fontId="13" fillId="3" borderId="25" xfId="0" applyNumberFormat="1" applyFont="1" applyFill="1" applyBorder="1" applyAlignment="1">
      <alignment horizontal="center" textRotation="90" wrapText="1"/>
    </xf>
    <xf numFmtId="164" fontId="13" fillId="0" borderId="0" xfId="0" applyFont="1" applyAlignment="1">
      <alignment/>
    </xf>
    <xf numFmtId="169" fontId="11" fillId="0" borderId="26" xfId="0" applyNumberFormat="1" applyFont="1" applyBorder="1" applyAlignment="1">
      <alignment horizontal="right"/>
    </xf>
    <xf numFmtId="166" fontId="11" fillId="0" borderId="27" xfId="0" applyNumberFormat="1" applyFont="1" applyBorder="1" applyAlignment="1">
      <alignment horizontal="center"/>
    </xf>
    <xf numFmtId="164" fontId="14" fillId="0" borderId="27" xfId="0" applyFont="1" applyBorder="1" applyAlignment="1" applyProtection="1">
      <alignment horizontal="center"/>
      <protection locked="0"/>
    </xf>
    <xf numFmtId="169" fontId="11" fillId="0" borderId="28" xfId="0" applyNumberFormat="1" applyFont="1" applyBorder="1" applyAlignment="1">
      <alignment horizontal="right"/>
    </xf>
    <xf numFmtId="164" fontId="11" fillId="0" borderId="0" xfId="0" applyFont="1" applyAlignment="1">
      <alignment/>
    </xf>
    <xf numFmtId="166" fontId="11" fillId="0" borderId="27" xfId="0" applyNumberFormat="1" applyFont="1" applyBorder="1" applyAlignment="1">
      <alignment horizontal="left"/>
    </xf>
    <xf numFmtId="169" fontId="11" fillId="0" borderId="29" xfId="0" applyNumberFormat="1" applyFont="1" applyBorder="1" applyAlignment="1">
      <alignment horizontal="right"/>
    </xf>
    <xf numFmtId="166" fontId="11" fillId="0" borderId="30" xfId="0" applyNumberFormat="1" applyFont="1" applyBorder="1" applyAlignment="1">
      <alignment horizontal="center"/>
    </xf>
    <xf numFmtId="164" fontId="14" fillId="0" borderId="30" xfId="0" applyFont="1" applyBorder="1" applyAlignment="1" applyProtection="1">
      <alignment horizontal="center"/>
      <protection locked="0"/>
    </xf>
    <xf numFmtId="169" fontId="11" fillId="0" borderId="31" xfId="0" applyNumberFormat="1" applyFont="1" applyBorder="1" applyAlignment="1">
      <alignment horizontal="right"/>
    </xf>
    <xf numFmtId="166" fontId="11" fillId="0" borderId="30" xfId="0" applyNumberFormat="1" applyFont="1" applyBorder="1" applyAlignment="1">
      <alignment horizontal="left"/>
    </xf>
    <xf numFmtId="166" fontId="14" fillId="0" borderId="30" xfId="0" applyNumberFormat="1" applyFont="1" applyBorder="1" applyAlignment="1" applyProtection="1">
      <alignment horizontal="center"/>
      <protection locked="0"/>
    </xf>
    <xf numFmtId="166" fontId="11" fillId="0" borderId="30" xfId="0" applyNumberFormat="1" applyFont="1" applyBorder="1" applyAlignment="1" applyProtection="1">
      <alignment horizontal="left"/>
      <protection locked="0"/>
    </xf>
    <xf numFmtId="169" fontId="13" fillId="0" borderId="29" xfId="0" applyNumberFormat="1" applyFont="1" applyBorder="1" applyAlignment="1">
      <alignment horizontal="right"/>
    </xf>
    <xf numFmtId="166" fontId="13" fillId="0" borderId="30" xfId="0" applyNumberFormat="1" applyFont="1" applyBorder="1" applyAlignment="1">
      <alignment horizontal="center"/>
    </xf>
    <xf numFmtId="166" fontId="13" fillId="0" borderId="30" xfId="0" applyNumberFormat="1" applyFont="1" applyBorder="1" applyAlignment="1">
      <alignment horizontal="left"/>
    </xf>
    <xf numFmtId="169" fontId="13" fillId="0" borderId="31" xfId="0" applyNumberFormat="1" applyFont="1" applyBorder="1" applyAlignment="1">
      <alignment horizontal="right"/>
    </xf>
    <xf numFmtId="169" fontId="14" fillId="0" borderId="29" xfId="0" applyNumberFormat="1" applyFont="1" applyBorder="1" applyAlignment="1">
      <alignment horizontal="right"/>
    </xf>
    <xf numFmtId="166" fontId="14" fillId="0" borderId="30" xfId="0" applyNumberFormat="1" applyFont="1" applyBorder="1" applyAlignment="1">
      <alignment horizontal="center"/>
    </xf>
    <xf numFmtId="169" fontId="14" fillId="0" borderId="31" xfId="0" applyNumberFormat="1" applyFont="1" applyBorder="1" applyAlignment="1">
      <alignment horizontal="right"/>
    </xf>
    <xf numFmtId="166" fontId="14" fillId="0" borderId="30" xfId="0" applyNumberFormat="1" applyFont="1" applyBorder="1" applyAlignment="1">
      <alignment horizontal="left"/>
    </xf>
    <xf numFmtId="169" fontId="14" fillId="0" borderId="29" xfId="0" applyNumberFormat="1" applyFont="1" applyBorder="1" applyAlignment="1">
      <alignment/>
    </xf>
    <xf numFmtId="164" fontId="14" fillId="0" borderId="30" xfId="0" applyFont="1" applyBorder="1" applyAlignment="1">
      <alignment horizontal="center"/>
    </xf>
    <xf numFmtId="169" fontId="0" fillId="0" borderId="29" xfId="0" applyNumberFormat="1" applyBorder="1" applyAlignment="1">
      <alignment horizontal="right"/>
    </xf>
    <xf numFmtId="166" fontId="0" fillId="0" borderId="30" xfId="0" applyNumberFormat="1" applyBorder="1" applyAlignment="1">
      <alignment horizontal="center"/>
    </xf>
    <xf numFmtId="166" fontId="0" fillId="0" borderId="30" xfId="0" applyNumberFormat="1" applyBorder="1" applyAlignment="1">
      <alignment horizontal="left"/>
    </xf>
    <xf numFmtId="169" fontId="0" fillId="0" borderId="31" xfId="0" applyNumberFormat="1" applyBorder="1" applyAlignment="1">
      <alignment horizontal="right"/>
    </xf>
    <xf numFmtId="169" fontId="11" fillId="0" borderId="32" xfId="0" applyNumberFormat="1" applyFont="1" applyBorder="1" applyAlignment="1">
      <alignment horizontal="right"/>
    </xf>
    <xf numFmtId="166" fontId="11" fillId="0" borderId="33" xfId="0" applyNumberFormat="1" applyFont="1" applyBorder="1" applyAlignment="1">
      <alignment horizontal="center"/>
    </xf>
    <xf numFmtId="166" fontId="11" fillId="0" borderId="33" xfId="0" applyNumberFormat="1" applyFont="1" applyBorder="1" applyAlignment="1">
      <alignment horizontal="left"/>
    </xf>
    <xf numFmtId="169" fontId="11" fillId="0" borderId="34" xfId="0" applyNumberFormat="1" applyFont="1" applyBorder="1" applyAlignment="1">
      <alignment horizontal="right"/>
    </xf>
    <xf numFmtId="169" fontId="13" fillId="0" borderId="17" xfId="0" applyNumberFormat="1" applyFont="1" applyBorder="1" applyAlignment="1">
      <alignment horizontal="right"/>
    </xf>
    <xf numFmtId="166" fontId="13" fillId="0" borderId="17" xfId="0" applyNumberFormat="1" applyFont="1" applyBorder="1" applyAlignment="1">
      <alignment horizontal="center"/>
    </xf>
    <xf numFmtId="166" fontId="13" fillId="0" borderId="17" xfId="0" applyNumberFormat="1" applyFont="1" applyBorder="1" applyAlignment="1">
      <alignment horizontal="left"/>
    </xf>
    <xf numFmtId="169" fontId="13" fillId="0" borderId="26" xfId="0" applyNumberFormat="1" applyFont="1" applyBorder="1" applyAlignment="1">
      <alignment horizontal="right"/>
    </xf>
    <xf numFmtId="166" fontId="13" fillId="0" borderId="27" xfId="0" applyNumberFormat="1" applyFont="1" applyBorder="1" applyAlignment="1">
      <alignment horizontal="center"/>
    </xf>
    <xf numFmtId="166" fontId="13" fillId="0" borderId="27" xfId="0" applyNumberFormat="1" applyFont="1" applyBorder="1" applyAlignment="1">
      <alignment horizontal="left"/>
    </xf>
    <xf numFmtId="169" fontId="13" fillId="0" borderId="28" xfId="0" applyNumberFormat="1" applyFont="1" applyBorder="1" applyAlignment="1">
      <alignment horizontal="right"/>
    </xf>
    <xf numFmtId="169" fontId="13" fillId="0" borderId="26" xfId="0" applyNumberFormat="1" applyFont="1" applyBorder="1" applyAlignment="1">
      <alignment/>
    </xf>
    <xf numFmtId="164" fontId="13" fillId="0" borderId="27" xfId="0" applyFont="1" applyBorder="1" applyAlignment="1">
      <alignment/>
    </xf>
    <xf numFmtId="164" fontId="13" fillId="0" borderId="28" xfId="0" applyFont="1" applyBorder="1" applyAlignment="1">
      <alignment/>
    </xf>
    <xf numFmtId="164" fontId="0" fillId="0" borderId="35" xfId="0" applyBorder="1" applyAlignment="1">
      <alignment/>
    </xf>
    <xf numFmtId="169" fontId="13" fillId="0" borderId="29" xfId="0" applyNumberFormat="1" applyFont="1" applyBorder="1" applyAlignment="1">
      <alignment/>
    </xf>
    <xf numFmtId="164" fontId="13" fillId="0" borderId="30" xfId="0" applyFont="1" applyBorder="1" applyAlignment="1">
      <alignment/>
    </xf>
    <xf numFmtId="164" fontId="13" fillId="0" borderId="31" xfId="0" applyFont="1" applyBorder="1" applyAlignment="1">
      <alignment/>
    </xf>
    <xf numFmtId="169" fontId="13" fillId="0" borderId="29" xfId="0" applyNumberFormat="1" applyFont="1" applyBorder="1" applyAlignment="1" applyProtection="1">
      <alignment horizontal="right"/>
      <protection locked="0"/>
    </xf>
    <xf numFmtId="164" fontId="13" fillId="0" borderId="30" xfId="0" applyFont="1" applyBorder="1" applyAlignment="1" applyProtection="1">
      <alignment horizontal="center"/>
      <protection locked="0"/>
    </xf>
    <xf numFmtId="164" fontId="13" fillId="0" borderId="30" xfId="0" applyFont="1" applyBorder="1" applyAlignment="1" applyProtection="1">
      <alignment horizontal="left"/>
      <protection locked="0"/>
    </xf>
    <xf numFmtId="169" fontId="13" fillId="0" borderId="31" xfId="0" applyNumberFormat="1" applyFont="1" applyBorder="1" applyAlignment="1" applyProtection="1">
      <alignment horizontal="right"/>
      <protection locked="0"/>
    </xf>
    <xf numFmtId="166" fontId="13" fillId="0" borderId="30" xfId="0" applyNumberFormat="1" applyFont="1" applyBorder="1" applyAlignment="1" applyProtection="1">
      <alignment horizontal="center"/>
      <protection locked="0"/>
    </xf>
    <xf numFmtId="169" fontId="15" fillId="0" borderId="29" xfId="0" applyNumberFormat="1" applyFont="1" applyBorder="1" applyAlignment="1">
      <alignment/>
    </xf>
    <xf numFmtId="164" fontId="15" fillId="0" borderId="30" xfId="0" applyFont="1" applyBorder="1" applyAlignment="1">
      <alignment horizontal="center"/>
    </xf>
    <xf numFmtId="166" fontId="15" fillId="0" borderId="30" xfId="0" applyNumberFormat="1" applyFont="1" applyBorder="1" applyAlignment="1">
      <alignment horizontal="center"/>
    </xf>
    <xf numFmtId="169" fontId="15" fillId="0" borderId="31" xfId="0" applyNumberFormat="1" applyFont="1" applyBorder="1" applyAlignment="1">
      <alignment horizontal="right"/>
    </xf>
    <xf numFmtId="169" fontId="15" fillId="0" borderId="29" xfId="0" applyNumberFormat="1" applyFont="1" applyBorder="1" applyAlignment="1">
      <alignment horizontal="right"/>
    </xf>
    <xf numFmtId="166" fontId="13" fillId="0" borderId="30" xfId="0" applyNumberFormat="1" applyFont="1" applyBorder="1" applyAlignment="1" applyProtection="1">
      <alignment horizontal="left"/>
      <protection locked="0"/>
    </xf>
    <xf numFmtId="164" fontId="13" fillId="0" borderId="30" xfId="0" applyFont="1" applyBorder="1" applyAlignment="1" applyProtection="1">
      <alignment/>
      <protection locked="0"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15" fillId="0" borderId="30" xfId="0" applyFont="1" applyBorder="1" applyAlignment="1" applyProtection="1">
      <alignment horizontal="center"/>
      <protection locked="0"/>
    </xf>
    <xf numFmtId="169" fontId="15" fillId="0" borderId="31" xfId="0" applyNumberFormat="1" applyFont="1" applyBorder="1" applyAlignment="1" applyProtection="1">
      <alignment horizontal="right"/>
      <protection locked="0"/>
    </xf>
    <xf numFmtId="166" fontId="16" fillId="0" borderId="30" xfId="0" applyNumberFormat="1" applyFont="1" applyBorder="1" applyAlignment="1">
      <alignment horizontal="center"/>
    </xf>
    <xf numFmtId="169" fontId="13" fillId="0" borderId="32" xfId="0" applyNumberFormat="1" applyFont="1" applyBorder="1" applyAlignment="1">
      <alignment horizontal="right"/>
    </xf>
    <xf numFmtId="166" fontId="13" fillId="0" borderId="33" xfId="0" applyNumberFormat="1" applyFont="1" applyBorder="1" applyAlignment="1">
      <alignment horizontal="center"/>
    </xf>
    <xf numFmtId="166" fontId="15" fillId="0" borderId="33" xfId="0" applyNumberFormat="1" applyFont="1" applyBorder="1" applyAlignment="1">
      <alignment horizontal="center"/>
    </xf>
    <xf numFmtId="169" fontId="13" fillId="0" borderId="34" xfId="0" applyNumberFormat="1" applyFont="1" applyBorder="1" applyAlignment="1">
      <alignment horizontal="right"/>
    </xf>
    <xf numFmtId="166" fontId="13" fillId="0" borderId="33" xfId="0" applyNumberFormat="1" applyFont="1" applyBorder="1" applyAlignment="1">
      <alignment horizontal="left"/>
    </xf>
    <xf numFmtId="169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left"/>
    </xf>
    <xf numFmtId="169" fontId="13" fillId="0" borderId="30" xfId="0" applyNumberFormat="1" applyFont="1" applyBorder="1" applyAlignment="1">
      <alignment/>
    </xf>
    <xf numFmtId="169" fontId="13" fillId="0" borderId="29" xfId="0" applyNumberFormat="1" applyFont="1" applyBorder="1" applyAlignment="1">
      <alignment horizontal="left"/>
    </xf>
    <xf numFmtId="169" fontId="0" fillId="0" borderId="11" xfId="0" applyNumberFormat="1" applyBorder="1" applyAlignment="1">
      <alignment horizontal="right"/>
    </xf>
    <xf numFmtId="166" fontId="0" fillId="0" borderId="36" xfId="0" applyNumberFormat="1" applyBorder="1" applyAlignment="1">
      <alignment horizontal="center"/>
    </xf>
    <xf numFmtId="166" fontId="0" fillId="0" borderId="36" xfId="0" applyNumberFormat="1" applyBorder="1" applyAlignment="1">
      <alignment horizontal="left"/>
    </xf>
    <xf numFmtId="169" fontId="0" fillId="0" borderId="37" xfId="0" applyNumberFormat="1" applyBorder="1" applyAlignment="1">
      <alignment horizontal="right"/>
    </xf>
    <xf numFmtId="166" fontId="13" fillId="0" borderId="30" xfId="0" applyNumberFormat="1" applyFont="1" applyBorder="1" applyAlignment="1">
      <alignment horizontal="left" vertical="top"/>
    </xf>
    <xf numFmtId="169" fontId="15" fillId="0" borderId="29" xfId="0" applyNumberFormat="1" applyFont="1" applyBorder="1" applyAlignment="1" applyProtection="1">
      <alignment horizontal="right"/>
      <protection locked="0"/>
    </xf>
    <xf numFmtId="166" fontId="15" fillId="0" borderId="30" xfId="0" applyNumberFormat="1" applyFont="1" applyBorder="1" applyAlignment="1" applyProtection="1">
      <alignment horizontal="center"/>
      <protection locked="0"/>
    </xf>
    <xf numFmtId="166" fontId="17" fillId="0" borderId="30" xfId="0" applyNumberFormat="1" applyFont="1" applyBorder="1" applyAlignment="1">
      <alignment horizontal="center"/>
    </xf>
    <xf numFmtId="169" fontId="0" fillId="0" borderId="19" xfId="0" applyNumberFormat="1" applyBorder="1" applyAlignment="1">
      <alignment horizontal="right"/>
    </xf>
    <xf numFmtId="166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4" fontId="0" fillId="0" borderId="34" xfId="0" applyBorder="1" applyAlignment="1">
      <alignment/>
    </xf>
    <xf numFmtId="164" fontId="11" fillId="0" borderId="0" xfId="0" applyFont="1" applyBorder="1" applyAlignment="1">
      <alignment horizontal="center"/>
    </xf>
    <xf numFmtId="164" fontId="14" fillId="3" borderId="38" xfId="0" applyFont="1" applyFill="1" applyBorder="1" applyAlignment="1">
      <alignment horizontal="center"/>
    </xf>
    <xf numFmtId="164" fontId="14" fillId="3" borderId="23" xfId="0" applyFont="1" applyFill="1" applyBorder="1" applyAlignment="1">
      <alignment/>
    </xf>
    <xf numFmtId="164" fontId="14" fillId="3" borderId="10" xfId="0" applyFont="1" applyFill="1" applyBorder="1" applyAlignment="1">
      <alignment horizontal="center"/>
    </xf>
    <xf numFmtId="176" fontId="0" fillId="0" borderId="16" xfId="0" applyNumberFormat="1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25717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ppData\Local\Microsoft\Windows\Temporary%20Internet%20Files\Content.IE5\Y7I33W7E\VI%20Rando%20RoutesMy%20Documents\1999%20Randonneurs\VI0200A%20%20Tour%20of%20Cowichan%20Vall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200A 990326"/>
      <sheetName val="Web sheet"/>
      <sheetName val="Web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H16" sqref="H16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9" width="17.8515625" style="0" customWidth="1"/>
    <col min="10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600</v>
      </c>
      <c r="C1" s="5">
        <f>IF(Brevet_Length&gt;=1200,Brevet_Length,IF(Brevet_Length&gt;=1000,1000,IF(Brevet_Length&gt;=600,600,IF(Brevet_Length&gt;=400,400,IF(Brevet_Length&gt;=300,300,IF(Brevet_Length&gt;=200,200,100))))))</f>
        <v>600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40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39963</v>
      </c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39963.25</v>
      </c>
      <c r="J10" s="24">
        <f>I10+"1:00"</f>
        <v>39963.291666666664</v>
      </c>
      <c r="K10" s="25">
        <f>IF(ISBLANK(Distance),"",Open Control_1)</f>
        <v>39963.25</v>
      </c>
      <c r="L10" s="25">
        <f>IF(ISBLANK(Distance),"",Close Control_1)</f>
        <v>39963.291666666664</v>
      </c>
    </row>
    <row r="11" spans="3:12" ht="12.75">
      <c r="C11" s="2" t="s">
        <v>23</v>
      </c>
      <c r="D11" s="20">
        <f>'VI0601A 300509'!A16</f>
        <v>80.4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2.364705882352941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5.36</v>
      </c>
      <c r="K11" s="25">
        <f>IF(ISBLANK(Distance),"",Open_time Control_1+(INT(Open)&amp;":"&amp;IF(ROUND(((Open-INT(Open))*60),0)&lt;10,0,"")&amp;ROUND(((Open-INT(Open))*60),0)))</f>
        <v>39963.34861111111</v>
      </c>
      <c r="L11" s="25">
        <f>IF(ISBLANK(Distance),"",Open_time Control_1+(INT(Close)&amp;":"&amp;IF(ROUND(((Close-INT(Close))*60),0)&lt;10,0,"")&amp;ROUND(((Close-INT(Close))*60),0)))</f>
        <v>39963.47361111111</v>
      </c>
    </row>
    <row r="12" spans="3:12" ht="12.75">
      <c r="C12" s="2" t="s">
        <v>28</v>
      </c>
      <c r="D12" s="20">
        <f>'VI0601A 300509'!F8</f>
        <v>203.89999999999998</v>
      </c>
      <c r="E12" s="21" t="s">
        <v>29</v>
      </c>
      <c r="F12" s="22" t="s">
        <v>30</v>
      </c>
      <c r="G12" s="22" t="s">
        <v>26</v>
      </c>
      <c r="H12" s="23" t="s">
        <v>31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6.004274999999999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13.593333333333332</v>
      </c>
      <c r="K12" s="25">
        <f>IF(ISBLANK(Distance),"",Open_time Control_1+(INT(Open)&amp;":"&amp;IF(ROUND(((Open-INT(Open))*60),0)&lt;10,0,"")&amp;ROUND(((Open-INT(Open))*60),0)))</f>
        <v>39963.5</v>
      </c>
      <c r="L12" s="25">
        <f>IF(ISBLANK(Distance),"",Open_time Control_1+(INT(Close)&amp;":"&amp;IF(ROUND(((Close-INT(Close))*60),0)&lt;10,0,"")&amp;ROUND(((Close-INT(Close))*60),0)))</f>
        <v>39963.816666666666</v>
      </c>
    </row>
    <row r="13" spans="3:12" ht="12.75">
      <c r="C13" s="2" t="s">
        <v>32</v>
      </c>
      <c r="D13" s="20">
        <f>'VI0601A 300509'!F18</f>
        <v>327.3999999999999</v>
      </c>
      <c r="E13" s="21" t="s">
        <v>24</v>
      </c>
      <c r="F13" s="22" t="s">
        <v>25</v>
      </c>
      <c r="G13" s="22" t="s">
        <v>26</v>
      </c>
      <c r="H13" s="23" t="s">
        <v>27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9.863649999999996</v>
      </c>
      <c r="J13" s="5">
        <f t="shared" si="0"/>
        <v>21.82666666666666</v>
      </c>
      <c r="K13" s="25">
        <f>IF(ISBLANK(Distance),"",Open_time Control_1+(INT(Open)&amp;":"&amp;IF(ROUND(((Open-INT(Open))*60),0)&lt;10,0,"")&amp;ROUND(((Open-INT(Open))*60),0)))</f>
        <v>39963.66111111111</v>
      </c>
      <c r="L13" s="25">
        <f>IF(ISBLANK(Distance),"",Open_time Control_1+(INT(Close)&amp;":"&amp;IF(ROUND(((Close-INT(Close))*60),0)&lt;10,0,"")&amp;ROUND(((Close-INT(Close))*60),0)))</f>
        <v>39964.15972222222</v>
      </c>
    </row>
    <row r="14" spans="3:12" ht="12.75">
      <c r="C14" s="2" t="s">
        <v>33</v>
      </c>
      <c r="D14" s="20">
        <f>'VI0601A 300509'!A30</f>
        <v>375.39999999999986</v>
      </c>
      <c r="E14" s="21" t="s">
        <v>34</v>
      </c>
      <c r="F14" s="22" t="s">
        <v>35</v>
      </c>
      <c r="G14" s="23" t="s">
        <v>36</v>
      </c>
      <c r="H14" s="23" t="s">
        <v>37</v>
      </c>
      <c r="I14" s="5">
        <f t="shared" si="1"/>
        <v>11.363649999999996</v>
      </c>
      <c r="J14" s="5">
        <f t="shared" si="0"/>
        <v>25.026666666666657</v>
      </c>
      <c r="K14" s="25">
        <f>IF(ISBLANK(Distance),"",Open_time Control_1+(INT(Open)&amp;":"&amp;IF(ROUND(((Open-INT(Open))*60),0)&lt;10,0,"")&amp;ROUND(((Open-INT(Open))*60),0)))</f>
        <v>39963.72361111111</v>
      </c>
      <c r="L14" s="25">
        <f>IF(ISBLANK(Distance),"",Open_time Control_1+(INT(Close)&amp;":"&amp;IF(ROUND(((Close-INT(Close))*60),0)&lt;10,0,"")&amp;ROUND(((Close-INT(Close))*60),0)))</f>
        <v>39964.29305555556</v>
      </c>
    </row>
    <row r="15" spans="3:12" ht="12.75">
      <c r="C15" s="2" t="s">
        <v>38</v>
      </c>
      <c r="D15" s="26">
        <f>'VI0601A 300509'!A41</f>
        <v>410.39999999999986</v>
      </c>
      <c r="E15" s="21" t="s">
        <v>19</v>
      </c>
      <c r="F15" s="22" t="s">
        <v>20</v>
      </c>
      <c r="G15" s="22" t="s">
        <v>39</v>
      </c>
      <c r="H15" s="23" t="s">
        <v>22</v>
      </c>
      <c r="I15" s="5">
        <f t="shared" si="1"/>
        <v>12.479066666666663</v>
      </c>
      <c r="J15" s="5">
        <f t="shared" si="0"/>
        <v>27.359999999999992</v>
      </c>
      <c r="K15" s="25">
        <f>IF(ISBLANK(Distance),"",Open_time Control_1+(INT(Open)&amp;":"&amp;IF(ROUND(((Open-INT(Open))*60),0)&lt;10,0,"")&amp;ROUND(((Open-INT(Open))*60),0)))</f>
        <v>39963.77013888889</v>
      </c>
      <c r="L15" s="25">
        <f>IF(ISBLANK(Distance),"",Open_time Control_1+(INT(Close)&amp;":"&amp;IF(ROUND(((Close-INT(Close))*60),0)&lt;10,0,"")&amp;ROUND(((Close-INT(Close))*60),0)))</f>
        <v>39964.39027777778</v>
      </c>
    </row>
    <row r="16" spans="3:12" ht="12.75">
      <c r="C16" s="2" t="s">
        <v>40</v>
      </c>
      <c r="D16" s="26">
        <f>'VI0601A 300509'!F39</f>
        <v>483.7999999999999</v>
      </c>
      <c r="E16" s="21" t="s">
        <v>41</v>
      </c>
      <c r="F16" s="22" t="s">
        <v>42</v>
      </c>
      <c r="G16" s="22" t="s">
        <v>43</v>
      </c>
      <c r="H16" s="23"/>
      <c r="I16" s="5">
        <f t="shared" si="1"/>
        <v>14.92573333333333</v>
      </c>
      <c r="J16" s="5">
        <f t="shared" si="0"/>
        <v>32.25333333333332</v>
      </c>
      <c r="K16" s="25">
        <f>IF(ISBLANK(Distance),"",Open_time Control_1+(INT(Open)&amp;":"&amp;IF(ROUND(((Open-INT(Open))*60),0)&lt;10,0,"")&amp;ROUND(((Open-INT(Open))*60),0)))</f>
        <v>39963.87222222222</v>
      </c>
      <c r="L16" s="25">
        <f>IF(ISBLANK(Distance),"",Open_time Control_1+(INT(Close)&amp;":"&amp;IF(ROUND(((Close-INT(Close))*60),0)&lt;10,0,"")&amp;ROUND(((Close-INT(Close))*60),0)))</f>
        <v>39964.59375</v>
      </c>
    </row>
    <row r="17" spans="3:12" ht="12.75">
      <c r="C17" s="2" t="s">
        <v>44</v>
      </c>
      <c r="D17" s="26">
        <f>'VI0601A 300509'!A64</f>
        <v>532.2999999999998</v>
      </c>
      <c r="E17" s="21" t="s">
        <v>45</v>
      </c>
      <c r="F17" s="22" t="s">
        <v>46</v>
      </c>
      <c r="G17" s="22" t="s">
        <v>47</v>
      </c>
      <c r="H17" s="23"/>
      <c r="I17" s="5">
        <f t="shared" si="1"/>
        <v>16.542399999999994</v>
      </c>
      <c r="J17" s="5">
        <f t="shared" si="0"/>
        <v>35.48666666666666</v>
      </c>
      <c r="K17" s="25">
        <f>IF(ISBLANK(Distance),"",Open_time Control_1+(INT(Open)&amp;":"&amp;IF(ROUND(((Open-INT(Open))*60),0)&lt;10,0,"")&amp;ROUND(((Open-INT(Open))*60),0)))</f>
        <v>39963.93958333333</v>
      </c>
      <c r="L17" s="25">
        <f>IF(ISBLANK(Distance),"",Open_time Control_1+(INT(Close)&amp;":"&amp;IF(ROUND(((Close-INT(Close))*60),0)&lt;10,0,"")&amp;ROUND(((Close-INT(Close))*60),0)))</f>
        <v>39964.728472222225</v>
      </c>
    </row>
    <row r="18" spans="3:12" ht="12.75">
      <c r="C18" s="2" t="s">
        <v>48</v>
      </c>
      <c r="D18" s="26">
        <f>'VI0601A 300509'!F65</f>
        <v>603.9999999999999</v>
      </c>
      <c r="E18" s="21" t="s">
        <v>19</v>
      </c>
      <c r="F18" s="22" t="s">
        <v>20</v>
      </c>
      <c r="G18" s="22" t="s">
        <v>39</v>
      </c>
      <c r="H18" s="23" t="s">
        <v>22</v>
      </c>
      <c r="I18" s="5">
        <f t="shared" si="1"/>
        <v>18.94185714285714</v>
      </c>
      <c r="J18" s="5">
        <f t="shared" si="0"/>
        <v>40</v>
      </c>
      <c r="K18" s="25">
        <f>IF(ISBLANK(Distance),"",Open_time Control_1+(INT(Open)&amp;":"&amp;IF(ROUND(((Open-INT(Open))*60),0)&lt;10,0,"")&amp;ROUND(((Open-INT(Open))*60),0)))</f>
        <v>39964.03958333333</v>
      </c>
      <c r="L18" s="25">
        <f>IF(ISBLANK(Distance),"",Open_time Control_1+(INT(Close)&amp;":"&amp;IF(ROUND(((Close-INT(Close))*60),0)&lt;10,0,"")&amp;ROUND(((Close-INT(Close))*60),0)))</f>
        <v>39964.916666666664</v>
      </c>
    </row>
    <row r="19" spans="3:12" ht="12.75">
      <c r="C19" s="2" t="s">
        <v>49</v>
      </c>
      <c r="D19" s="26"/>
      <c r="E19" s="21" t="s">
        <v>50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51</v>
      </c>
      <c r="D20" s="26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52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53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54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55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56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57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58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59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60</v>
      </c>
      <c r="D29" s="27"/>
      <c r="E29" s="28"/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2">
      <selection activeCell="V28" sqref="V28"/>
    </sheetView>
  </sheetViews>
  <sheetFormatPr defaultColWidth="9.140625" defaultRowHeight="12.75"/>
  <cols>
    <col min="1" max="1" width="9.28125" style="31" customWidth="1"/>
    <col min="2" max="3" width="11.7109375" style="0" customWidth="1"/>
    <col min="4" max="4" width="19.28125" style="0" customWidth="1"/>
    <col min="5" max="5" width="24.57421875" style="0" customWidth="1"/>
    <col min="6" max="6" width="41.7109375" style="0" customWidth="1"/>
    <col min="7" max="7" width="13.57421875" style="0" customWidth="1"/>
    <col min="8" max="8" width="7.00390625" style="32" customWidth="1"/>
    <col min="9" max="9" width="8.7109375" style="0" customWidth="1"/>
    <col min="10" max="16384" width="8.8515625" style="0" customWidth="1"/>
  </cols>
  <sheetData>
    <row r="1" spans="1:8" ht="19.5">
      <c r="A1" s="33" t="s">
        <v>61</v>
      </c>
      <c r="B1" s="33"/>
      <c r="C1" s="33"/>
      <c r="D1" s="33"/>
      <c r="E1" s="33"/>
      <c r="F1" s="33"/>
      <c r="G1" s="33"/>
      <c r="H1" s="11" t="s">
        <v>62</v>
      </c>
    </row>
    <row r="2" spans="1:14" ht="33.75" customHeight="1">
      <c r="A2" s="34" t="s">
        <v>63</v>
      </c>
      <c r="B2" s="35" t="s">
        <v>14</v>
      </c>
      <c r="C2" s="35" t="s">
        <v>15</v>
      </c>
      <c r="D2" s="35" t="s">
        <v>10</v>
      </c>
      <c r="E2" s="35" t="s">
        <v>64</v>
      </c>
      <c r="F2" s="35" t="s">
        <v>65</v>
      </c>
      <c r="G2" s="34" t="s">
        <v>66</v>
      </c>
      <c r="H2" s="11" t="s">
        <v>62</v>
      </c>
      <c r="N2" s="36"/>
    </row>
    <row r="3" spans="1:14" ht="36" customHeight="1">
      <c r="A3" s="37"/>
      <c r="B3" s="38">
        <f>Control_1 Open_time</f>
        <v>39963.25</v>
      </c>
      <c r="C3" s="38">
        <f>Control_1 Close_time</f>
        <v>39963.291666666664</v>
      </c>
      <c r="D3" s="39"/>
      <c r="E3" s="40" t="s">
        <v>46</v>
      </c>
      <c r="F3" s="41"/>
      <c r="G3" s="42"/>
      <c r="H3" s="11" t="s">
        <v>62</v>
      </c>
      <c r="K3" s="43"/>
      <c r="N3" s="36"/>
    </row>
    <row r="4" spans="1:14" ht="36" customHeight="1">
      <c r="A4" s="44">
        <f>IF(ISBLANK(Distance Control_1),"",Control_1 Distance)</f>
        <v>0</v>
      </c>
      <c r="B4" s="45">
        <f>Control_1 Open_time</f>
        <v>39963.25</v>
      </c>
      <c r="C4" s="45">
        <f>Control_1 Close_time</f>
        <v>39963.291666666664</v>
      </c>
      <c r="D4" s="40">
        <f>IF(ISBLANK(Locale Control_1),"",Locale Control_1)</f>
        <v>0</v>
      </c>
      <c r="E4" s="40">
        <f>IF(ISBLANK(Control_1 Establishment_2),"",Control_1 Establishment_2)</f>
        <v>0</v>
      </c>
      <c r="F4" s="41"/>
      <c r="G4" s="42"/>
      <c r="H4" s="11" t="s">
        <v>62</v>
      </c>
      <c r="K4" s="43"/>
      <c r="N4" s="36"/>
    </row>
    <row r="5" spans="1:11" ht="36" customHeight="1">
      <c r="A5" s="46"/>
      <c r="B5" s="47">
        <f>Control_1 Open_time</f>
        <v>39963.25</v>
      </c>
      <c r="C5" s="47">
        <f>Control_1 Close_time</f>
        <v>39963.291666666664</v>
      </c>
      <c r="D5" s="48"/>
      <c r="E5" s="49">
        <f>IF(ISBLANK(Control_1 Establishment_3),"",Control_1 Establishment_3)</f>
        <v>0</v>
      </c>
      <c r="F5" s="50"/>
      <c r="G5" s="51"/>
      <c r="H5" s="11" t="s">
        <v>62</v>
      </c>
      <c r="K5" s="43"/>
    </row>
    <row r="6" spans="1:11" ht="36" customHeight="1">
      <c r="A6" s="37"/>
      <c r="B6" s="38">
        <f>Control_2 Open_time</f>
        <v>39963.34861111111</v>
      </c>
      <c r="C6" s="38">
        <f>Control_2 Close_time</f>
        <v>39963.47361111111</v>
      </c>
      <c r="D6" s="52"/>
      <c r="E6" s="40">
        <f>IF(ISBLANK(Control_2 Establishment_1),"",Control_2 Establishment_1)</f>
        <v>0</v>
      </c>
      <c r="F6" s="41"/>
      <c r="G6" s="42"/>
      <c r="H6" s="11" t="s">
        <v>62</v>
      </c>
      <c r="K6" s="43"/>
    </row>
    <row r="7" spans="1:11" ht="36" customHeight="1">
      <c r="A7" s="44">
        <f>IF(ISBLANK(Distance Control_2),"",Control_2 Distance)</f>
        <v>80.4</v>
      </c>
      <c r="B7" s="45">
        <f>Control_2 Open_time</f>
        <v>39963.34861111111</v>
      </c>
      <c r="C7" s="45">
        <f>Control_2 Close_time</f>
        <v>39963.47361111111</v>
      </c>
      <c r="D7" s="40">
        <f>IF(ISBLANK(Locale Control_2),"",Locale Control_2)</f>
        <v>0</v>
      </c>
      <c r="E7" s="40">
        <f>IF(ISBLANK(Control_2 Establishment_2),"",Control_2 Establishment_2)</f>
        <v>0</v>
      </c>
      <c r="F7" s="41"/>
      <c r="G7" s="42"/>
      <c r="H7" s="11" t="s">
        <v>62</v>
      </c>
      <c r="K7" s="43"/>
    </row>
    <row r="8" spans="1:20" ht="36" customHeight="1">
      <c r="A8" s="46"/>
      <c r="B8" s="47">
        <f>Control_2 Open_time</f>
        <v>39963.34861111111</v>
      </c>
      <c r="C8" s="47">
        <f>Control_2 Close_time</f>
        <v>39963.47361111111</v>
      </c>
      <c r="D8" s="48"/>
      <c r="E8" s="49">
        <f>IF(ISBLANK(Control_2 Establishment_3),"",Control_2 Establishment_3)</f>
        <v>0</v>
      </c>
      <c r="F8" s="50"/>
      <c r="G8" s="51"/>
      <c r="H8" s="11" t="s">
        <v>62</v>
      </c>
      <c r="J8" s="53" t="s">
        <v>67</v>
      </c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19" ht="36" customHeight="1">
      <c r="A9" s="37"/>
      <c r="B9" s="38">
        <f>Control_3 Open_time</f>
        <v>39963.5</v>
      </c>
      <c r="C9" s="38">
        <f>Control_3 Close_time</f>
        <v>39963.816666666666</v>
      </c>
      <c r="D9" s="52"/>
      <c r="E9" s="40">
        <f>IF(ISBLANK(Control_3 Establishment_1),"",Control_3 Establishment_1)</f>
        <v>0</v>
      </c>
      <c r="F9" s="41"/>
      <c r="G9" s="42"/>
      <c r="H9" s="11" t="s">
        <v>62</v>
      </c>
      <c r="J9" s="54">
        <f>IF(ISBLANK(brevet),"",brevet&amp;" km Randonnée")</f>
        <v>0</v>
      </c>
      <c r="K9" s="54"/>
      <c r="L9" s="54"/>
      <c r="M9" s="54"/>
      <c r="N9" s="54"/>
      <c r="O9" s="54"/>
      <c r="P9" s="54"/>
      <c r="Q9" s="54"/>
      <c r="R9" s="54"/>
      <c r="S9" s="54"/>
    </row>
    <row r="10" spans="1:20" ht="36" customHeight="1">
      <c r="A10" s="44">
        <f>IF(ISBLANK(Distance Control_3),"",Control_3 Distance)</f>
        <v>203.89999999999998</v>
      </c>
      <c r="B10" s="45">
        <f>Control_3 Open_time</f>
        <v>39963.5</v>
      </c>
      <c r="C10" s="45">
        <f>Control_3 Close_time</f>
        <v>39963.816666666666</v>
      </c>
      <c r="D10" s="40">
        <f>IF(ISBLANK(Locale Control_3),"",Locale Control_3)</f>
        <v>0</v>
      </c>
      <c r="E10" s="40">
        <f>IF(ISBLANK(Control_3 Establishment_2),"",Control_3 Establishment_2)</f>
        <v>0</v>
      </c>
      <c r="F10" s="41"/>
      <c r="G10" s="42"/>
      <c r="H10" s="11" t="s">
        <v>62</v>
      </c>
      <c r="J10" s="55">
        <f>IF(ISBLANK(Brevet_Description),"",Brevet_Description)</f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36" customHeight="1">
      <c r="A11" s="46"/>
      <c r="B11" s="47">
        <f>Control_3 Open_time</f>
        <v>39963.5</v>
      </c>
      <c r="C11" s="47">
        <f>Control_3 Close_time</f>
        <v>39963.816666666666</v>
      </c>
      <c r="D11" s="48"/>
      <c r="E11" s="49">
        <f>IF(ISBLANK(Control_3 Establishment_3),"",Control_3 Establishment_3)</f>
        <v>0</v>
      </c>
      <c r="F11" s="50"/>
      <c r="G11" s="51"/>
      <c r="H11" s="11" t="s">
        <v>62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37"/>
      <c r="B12" s="38">
        <f>Control_4 Open_time</f>
        <v>39963.66111111111</v>
      </c>
      <c r="C12" s="38">
        <f>Control_4 Close_time</f>
        <v>39964.15972222222</v>
      </c>
      <c r="D12" s="52"/>
      <c r="E12" s="40">
        <f>IF(ISBLANK(Control_4 Establishment_1),"",Control_4 Establishment_1)</f>
        <v>0</v>
      </c>
      <c r="F12" s="41"/>
      <c r="G12" s="42"/>
      <c r="H12" s="11" t="s">
        <v>62</v>
      </c>
      <c r="J12" s="57" t="s">
        <v>68</v>
      </c>
      <c r="L12" s="58" t="str">
        <f>IF(ISBLANK(surname),"",First_Name&amp;" "&amp;Initial&amp;" "&amp;surname)</f>
        <v>  </v>
      </c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4">
        <f>IF(ISBLANK(Distance Control_4),"",Control_4 Distance)</f>
        <v>327.3999999999999</v>
      </c>
      <c r="B13" s="45">
        <f>Control_4 Open_time</f>
        <v>39963.66111111111</v>
      </c>
      <c r="C13" s="45">
        <f>Control_4 Close_time</f>
        <v>39964.15972222222</v>
      </c>
      <c r="D13" s="40">
        <f>IF(ISBLANK(Locale Control_4),"",Locale Control_4)</f>
        <v>0</v>
      </c>
      <c r="E13" s="40">
        <f>IF(ISBLANK(Control_4 Establishment_2),"",Control_4 Establishment_2)</f>
        <v>0</v>
      </c>
      <c r="F13" s="41"/>
      <c r="G13" s="42"/>
      <c r="H13" s="11" t="s">
        <v>62</v>
      </c>
      <c r="J13" s="57" t="s">
        <v>69</v>
      </c>
      <c r="K13" s="57"/>
      <c r="L13" s="61">
        <f>IF(ISBLANK(Address_1),"",Address_1)</f>
      </c>
      <c r="M13" s="62"/>
      <c r="N13" s="62"/>
      <c r="O13" s="62"/>
      <c r="P13" s="62"/>
      <c r="Q13" s="62"/>
      <c r="R13" s="62"/>
      <c r="S13" s="62"/>
      <c r="T13" s="63"/>
    </row>
    <row r="14" spans="1:20" ht="36" customHeight="1">
      <c r="A14" s="46"/>
      <c r="B14" s="47">
        <f>Control_4 Open_time</f>
        <v>39963.66111111111</v>
      </c>
      <c r="C14" s="47">
        <f>Control_4 Close_time</f>
        <v>39964.15972222222</v>
      </c>
      <c r="D14" s="48"/>
      <c r="E14" s="49">
        <f>IF(ISBLANK(Control_4 Establishment_3),"",Control_4 Establishment_3)</f>
        <v>0</v>
      </c>
      <c r="F14" s="50"/>
      <c r="G14" s="51"/>
      <c r="H14" s="11" t="s">
        <v>62</v>
      </c>
      <c r="J14" s="57"/>
      <c r="K14" s="57"/>
      <c r="L14" s="61">
        <f>IF(ISBLANK(Address_2),"",Address_2)</f>
      </c>
      <c r="M14" s="62"/>
      <c r="N14" s="62"/>
      <c r="O14" s="62"/>
      <c r="P14" s="62"/>
      <c r="Q14" s="62"/>
      <c r="R14" s="62"/>
      <c r="S14" s="62"/>
      <c r="T14" s="63"/>
    </row>
    <row r="15" spans="1:20" ht="36" customHeight="1">
      <c r="A15" s="37"/>
      <c r="B15" s="38">
        <f>Control_5 Open_time</f>
        <v>39963.72361111111</v>
      </c>
      <c r="C15" s="38">
        <f>Control_5 Close_time</f>
        <v>39964.29305555556</v>
      </c>
      <c r="D15" s="52"/>
      <c r="E15" s="40">
        <f>IF(ISBLANK(Control_5 Establishment_1),"",Control_5 Establishment_1)</f>
        <v>0</v>
      </c>
      <c r="F15" s="41"/>
      <c r="G15" s="42"/>
      <c r="H15" s="11" t="s">
        <v>62</v>
      </c>
      <c r="J15" s="57" t="s">
        <v>70</v>
      </c>
      <c r="K15" s="57"/>
      <c r="L15" s="61">
        <f>IF(ISBLANK(City),"",City)</f>
      </c>
      <c r="M15" s="62"/>
      <c r="N15" s="62"/>
      <c r="O15" s="64"/>
      <c r="P15" s="64" t="s">
        <v>71</v>
      </c>
      <c r="Q15" s="64"/>
      <c r="R15" s="64"/>
      <c r="S15" s="61">
        <f>IF(ISBLANK(Province_State),"",Province_State)</f>
      </c>
      <c r="T15" s="63"/>
    </row>
    <row r="16" spans="1:20" ht="36" customHeight="1">
      <c r="A16" s="44">
        <f>IF(ISBLANK(Distance Control_5),"",Control_5 Distance)</f>
        <v>375.39999999999986</v>
      </c>
      <c r="B16" s="45">
        <f>Control_5 Open_time</f>
        <v>39963.72361111111</v>
      </c>
      <c r="C16" s="45">
        <f>Control_5 Close_time</f>
        <v>39964.29305555556</v>
      </c>
      <c r="D16" s="40">
        <f>IF(ISBLANK(Locale Control_5),"",Locale Control_5)</f>
        <v>0</v>
      </c>
      <c r="E16" s="40">
        <f>IF(ISBLANK(Control_5 Establishment_2),"",Control_5 Establishment_2)</f>
        <v>0</v>
      </c>
      <c r="F16" s="41"/>
      <c r="G16" s="42"/>
      <c r="H16" s="11" t="s">
        <v>62</v>
      </c>
      <c r="J16" s="57" t="s">
        <v>72</v>
      </c>
      <c r="K16" s="57"/>
      <c r="L16" s="61">
        <f>IF(ISBLANK(Country),"",Country)</f>
      </c>
      <c r="M16" s="62"/>
      <c r="N16" s="62"/>
      <c r="O16" s="64"/>
      <c r="P16" s="64" t="s">
        <v>73</v>
      </c>
      <c r="Q16" s="64"/>
      <c r="R16" s="64"/>
      <c r="S16" s="65">
        <f>IF(ISBLANK(Postal_Code),"",Postal_Code)</f>
      </c>
      <c r="T16" s="65"/>
    </row>
    <row r="17" spans="1:19" ht="36" customHeight="1">
      <c r="A17" s="46"/>
      <c r="B17" s="47">
        <f>Control_5 Open_time</f>
        <v>39963.72361111111</v>
      </c>
      <c r="C17" s="47">
        <f>Control_5 Close_time</f>
        <v>39964.29305555556</v>
      </c>
      <c r="D17" s="48"/>
      <c r="E17" s="49">
        <f>IF(ISBLANK(Control_5 Establishment_3),"",Control_5 Establishment_3)</f>
        <v>0</v>
      </c>
      <c r="F17" s="50"/>
      <c r="G17" s="51"/>
      <c r="H17" s="11" t="s">
        <v>62</v>
      </c>
      <c r="L17" s="66"/>
      <c r="M17" s="66"/>
      <c r="N17" s="66"/>
      <c r="O17" s="66"/>
      <c r="P17" s="66"/>
      <c r="Q17" s="66"/>
      <c r="R17" s="66"/>
      <c r="S17" s="66"/>
    </row>
    <row r="18" spans="1:20" ht="36" customHeight="1">
      <c r="A18" s="37"/>
      <c r="B18" s="38">
        <f>Control_6 Open_time</f>
        <v>39963.77013888889</v>
      </c>
      <c r="C18" s="38">
        <f>Control_6 Close_time</f>
        <v>39964.39027777778</v>
      </c>
      <c r="D18" s="52"/>
      <c r="E18" s="40">
        <f>IF(ISBLANK(Control_6 Establishment_1),"",Control_6 Establishment_1)</f>
        <v>0</v>
      </c>
      <c r="F18" s="41"/>
      <c r="G18" s="42"/>
      <c r="H18" s="11" t="s">
        <v>62</v>
      </c>
      <c r="J18" s="57" t="s">
        <v>74</v>
      </c>
      <c r="L18" s="67">
        <f>IF(ISBLANK(Home_telephone),"",Home_telephone)</f>
      </c>
      <c r="M18" s="67"/>
      <c r="N18" s="67"/>
      <c r="O18" s="66"/>
      <c r="P18" s="64" t="s">
        <v>75</v>
      </c>
      <c r="Q18" s="68">
        <f>IF(ISBLANK(email),"",email)</f>
      </c>
      <c r="R18" s="69"/>
      <c r="S18" s="69"/>
      <c r="T18" s="70"/>
    </row>
    <row r="19" spans="1:19" ht="36" customHeight="1">
      <c r="A19" s="44">
        <f>IF(ISBLANK(Distance Control_6),"",Control_6 Distance)</f>
        <v>410.39999999999986</v>
      </c>
      <c r="B19" s="45">
        <f>Control_6 Open_time</f>
        <v>39963.77013888889</v>
      </c>
      <c r="C19" s="45">
        <f>Control_6 Close_time</f>
        <v>39964.39027777778</v>
      </c>
      <c r="D19" s="40">
        <f>IF(ISBLANK(Locale Control_6),"",Locale Control_6)</f>
        <v>0</v>
      </c>
      <c r="E19" s="40">
        <f>IF(ISBLANK(Control_6 Establishment_2),"",Control_6 Establishment_2)</f>
        <v>0</v>
      </c>
      <c r="F19" s="41"/>
      <c r="G19" s="42"/>
      <c r="H19" s="11" t="s">
        <v>62</v>
      </c>
      <c r="L19" s="66"/>
      <c r="M19" s="66"/>
      <c r="N19" s="66"/>
      <c r="O19" s="66"/>
      <c r="P19" s="66"/>
      <c r="Q19" s="66"/>
      <c r="R19" s="66"/>
      <c r="S19" s="66"/>
    </row>
    <row r="20" spans="1:20" ht="36" customHeight="1">
      <c r="A20" s="46"/>
      <c r="B20" s="47">
        <f>Control_6 Open_time</f>
        <v>39963.77013888889</v>
      </c>
      <c r="C20" s="47">
        <f>Control_6 Close_time</f>
        <v>39964.39027777778</v>
      </c>
      <c r="D20" s="48"/>
      <c r="E20" s="49">
        <f>IF(ISBLANK(Control_6 Establishment_3),"",Control_6 Establishment_3)</f>
        <v>0</v>
      </c>
      <c r="F20" s="50"/>
      <c r="G20" s="51"/>
      <c r="H20" s="11" t="s">
        <v>62</v>
      </c>
      <c r="J20" s="71"/>
      <c r="K20" s="72" t="s">
        <v>76</v>
      </c>
      <c r="L20" s="72"/>
      <c r="M20" s="72"/>
      <c r="N20" s="72"/>
      <c r="O20" s="72"/>
      <c r="P20" s="72"/>
      <c r="Q20" s="72"/>
      <c r="R20" s="72"/>
      <c r="S20" s="72"/>
      <c r="T20" s="72"/>
    </row>
    <row r="21" spans="1:20" ht="36" customHeight="1">
      <c r="A21" s="37"/>
      <c r="B21" s="38">
        <f>Control_7 Open_time</f>
        <v>39963.87222222222</v>
      </c>
      <c r="C21" s="38">
        <f>Control_7 Close_time</f>
        <v>39964.59375</v>
      </c>
      <c r="D21" s="52"/>
      <c r="E21" s="40">
        <f>IF(ISBLANK(Control_7 Establishment_1),"",Control_7 Establishment_1)</f>
        <v>0</v>
      </c>
      <c r="F21" s="41"/>
      <c r="G21" s="42"/>
      <c r="H21" s="11" t="s">
        <v>62</v>
      </c>
      <c r="J21" s="72" t="s">
        <v>77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19" ht="36" customHeight="1">
      <c r="A22" s="44">
        <f>IF(ISBLANK(Distance Control_7),"",Control_7 Distance)</f>
        <v>483.7999999999999</v>
      </c>
      <c r="B22" s="45">
        <f>Control_7 Open_time</f>
        <v>39963.87222222222</v>
      </c>
      <c r="C22" s="45">
        <f>Control_7 Close_time</f>
        <v>39964.59375</v>
      </c>
      <c r="D22" s="40">
        <f>IF(ISBLANK(Locale Control_7),"",Locale Control_7)</f>
        <v>0</v>
      </c>
      <c r="E22" s="40">
        <f>IF(ISBLANK(Control_7 Establishment_2),"",Control_7 Establishment_2)</f>
        <v>0</v>
      </c>
      <c r="F22" s="41" t="s">
        <v>78</v>
      </c>
      <c r="G22" s="42"/>
      <c r="H22" s="11" t="s">
        <v>62</v>
      </c>
      <c r="L22" s="66"/>
      <c r="M22" s="66"/>
      <c r="N22" s="66"/>
      <c r="O22" s="66"/>
      <c r="P22" s="66"/>
      <c r="Q22" s="66"/>
      <c r="R22" s="66"/>
      <c r="S22" s="66"/>
    </row>
    <row r="23" spans="1:20" ht="36" customHeight="1">
      <c r="A23" s="46"/>
      <c r="B23" s="47">
        <f>Control_7 Open_time</f>
        <v>39963.87222222222</v>
      </c>
      <c r="C23" s="47">
        <f>Control_7 Close_time</f>
        <v>39964.59375</v>
      </c>
      <c r="D23" s="48"/>
      <c r="E23" s="49">
        <f>IF(ISBLANK(Control_7 Establishment_3),"",Control_7 Establishment_3)</f>
        <v>0</v>
      </c>
      <c r="F23" s="73" t="s">
        <v>79</v>
      </c>
      <c r="G23" s="51"/>
      <c r="H23" s="11" t="s">
        <v>62</v>
      </c>
      <c r="J23" s="74" t="s">
        <v>80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36" customHeight="1">
      <c r="A24" s="37"/>
      <c r="B24" s="38">
        <f>Control_8 Open_time</f>
        <v>39963.93958333333</v>
      </c>
      <c r="C24" s="38">
        <f>Control_8 Close_time</f>
        <v>39964.728472222225</v>
      </c>
      <c r="D24" s="52"/>
      <c r="E24" s="40">
        <f>IF(ISBLANK(Control_8 Establishment_1),"",Control_8 Establishment_1)</f>
        <v>0</v>
      </c>
      <c r="F24" s="41"/>
      <c r="G24" s="42"/>
      <c r="H24" s="11" t="s">
        <v>62</v>
      </c>
      <c r="J24" s="57" t="s">
        <v>81</v>
      </c>
      <c r="K24" s="75">
        <f>IF(ISBLANK(Start_date),"",Start_date)</f>
        <v>39963</v>
      </c>
      <c r="L24" s="75"/>
      <c r="M24" s="75"/>
      <c r="N24" s="66"/>
      <c r="O24" s="64" t="s">
        <v>82</v>
      </c>
      <c r="P24" s="66"/>
      <c r="Q24" s="69"/>
      <c r="R24" s="69"/>
      <c r="S24" s="69"/>
      <c r="T24" s="76"/>
    </row>
    <row r="25" spans="1:20" ht="36" customHeight="1">
      <c r="A25" s="44">
        <f>IF(ISBLANK(Distance Control_8),"",Control_8 Distance)</f>
        <v>532.2999999999998</v>
      </c>
      <c r="B25" s="45">
        <f>Control_8 Open_time</f>
        <v>39963.93958333333</v>
      </c>
      <c r="C25" s="45">
        <f>Control_8 Close_time</f>
        <v>39964.728472222225</v>
      </c>
      <c r="D25" s="40">
        <f>IF(ISBLANK(Locale Control_8),"",Locale Control_8)</f>
        <v>0</v>
      </c>
      <c r="E25" s="40">
        <f>IF(ISBLANK(Control_8 Establishment_2),"",Control_8 Establishment_2)</f>
        <v>0</v>
      </c>
      <c r="F25" s="41"/>
      <c r="G25" s="42"/>
      <c r="H25" s="11" t="s">
        <v>62</v>
      </c>
      <c r="L25" s="66"/>
      <c r="M25" s="66"/>
      <c r="N25" s="66"/>
      <c r="O25" s="64" t="s">
        <v>83</v>
      </c>
      <c r="P25" s="66"/>
      <c r="Q25" s="69"/>
      <c r="R25" s="69"/>
      <c r="S25" s="69"/>
      <c r="T25" s="76"/>
    </row>
    <row r="26" spans="1:20" ht="36" customHeight="1">
      <c r="A26" s="46"/>
      <c r="B26" s="47">
        <f>Control_8 Open_time</f>
        <v>39963.93958333333</v>
      </c>
      <c r="C26" s="47">
        <f>Control_8 Close_time</f>
        <v>39964.728472222225</v>
      </c>
      <c r="D26" s="48"/>
      <c r="E26" s="49">
        <f>IF(ISBLANK(Control_8 Establishment_3),"",Control_8 Establishment_3)</f>
        <v>0</v>
      </c>
      <c r="F26" s="50"/>
      <c r="G26" s="51"/>
      <c r="H26" s="11" t="s">
        <v>62</v>
      </c>
      <c r="J26" s="76"/>
      <c r="K26" s="76"/>
      <c r="L26" s="69"/>
      <c r="M26" s="69"/>
      <c r="N26" s="66"/>
      <c r="O26" s="64" t="s">
        <v>84</v>
      </c>
      <c r="P26" s="66"/>
      <c r="Q26" s="69"/>
      <c r="R26" s="69"/>
      <c r="S26" s="69"/>
      <c r="T26" s="76"/>
    </row>
    <row r="27" spans="1:19" ht="36" customHeight="1">
      <c r="A27" s="37"/>
      <c r="B27" s="38">
        <f>Control_9 Open_time</f>
        <v>39964.03958333333</v>
      </c>
      <c r="C27" s="38">
        <f>Control_9 Close_time</f>
        <v>39964.916666666664</v>
      </c>
      <c r="D27" s="52"/>
      <c r="E27" s="40">
        <f>IF(ISBLANK(Control_9 Establishment_1),"",Control_9 Establishment_1)</f>
        <v>0</v>
      </c>
      <c r="F27" s="41"/>
      <c r="G27" s="42"/>
      <c r="H27" s="11" t="s">
        <v>62</v>
      </c>
      <c r="J27" s="77" t="s">
        <v>85</v>
      </c>
      <c r="K27" s="77"/>
      <c r="L27" s="77"/>
      <c r="M27" s="77"/>
      <c r="N27" s="66"/>
      <c r="O27" s="66"/>
      <c r="P27" s="66"/>
      <c r="Q27" s="66"/>
      <c r="R27" s="66"/>
      <c r="S27" s="66"/>
    </row>
    <row r="28" spans="1:19" ht="36" customHeight="1">
      <c r="A28" s="44">
        <f>IF(ISBLANK(Distance Control_9),"",Control_9 Distance)</f>
        <v>603.9999999999999</v>
      </c>
      <c r="B28" s="45">
        <f>Control_9 Open_time</f>
        <v>39964.03958333333</v>
      </c>
      <c r="C28" s="45">
        <f>Control_9 Close_time</f>
        <v>39964.916666666664</v>
      </c>
      <c r="D28" s="40">
        <f>IF(ISBLANK(Locale Control_9),"",Locale Control_9)</f>
        <v>0</v>
      </c>
      <c r="E28" s="40">
        <f>IF(ISBLANK(Control_9 Establishment_2),"",Control_9 Establishment_2)</f>
        <v>0</v>
      </c>
      <c r="F28" s="41"/>
      <c r="G28" s="42"/>
      <c r="H28" s="11" t="s">
        <v>62</v>
      </c>
      <c r="L28" s="78" t="s">
        <v>86</v>
      </c>
      <c r="M28" s="78"/>
      <c r="N28" s="78"/>
      <c r="O28" s="78"/>
      <c r="P28" s="78"/>
      <c r="Q28" s="78"/>
      <c r="R28" s="66"/>
      <c r="S28" s="66"/>
    </row>
    <row r="29" spans="1:19" ht="36" customHeight="1">
      <c r="A29" s="46"/>
      <c r="B29" s="47">
        <f>Control_9 Open_time</f>
        <v>39964.03958333333</v>
      </c>
      <c r="C29" s="47">
        <f>Control_9 Close_time</f>
        <v>39964.916666666664</v>
      </c>
      <c r="D29" s="48"/>
      <c r="E29" s="49">
        <f>IF(ISBLANK(Control_9 Establishment_3),"",Control_9 Establishment_3)</f>
        <v>0</v>
      </c>
      <c r="F29" s="50"/>
      <c r="G29" s="51"/>
      <c r="H29" s="11" t="s">
        <v>62</v>
      </c>
      <c r="K29" s="79"/>
      <c r="L29" s="80"/>
      <c r="M29" s="80"/>
      <c r="N29" s="81"/>
      <c r="O29" s="82"/>
      <c r="P29" s="80"/>
      <c r="Q29" s="80"/>
      <c r="R29" s="81"/>
      <c r="S29" s="83" t="s">
        <v>87</v>
      </c>
    </row>
    <row r="30" spans="1:19" ht="36" customHeight="1">
      <c r="A30" s="37"/>
      <c r="B30" s="38">
        <f>Control_10 Open_time</f>
        <v>0</v>
      </c>
      <c r="C30" s="38">
        <f>Control_10 Close_time</f>
        <v>0</v>
      </c>
      <c r="D30" s="52"/>
      <c r="E30" s="40">
        <f>IF(ISBLANK(Control_10 Establishment_1),"",Control_10 Establishment_1)</f>
        <v>0</v>
      </c>
      <c r="F30" s="41"/>
      <c r="G30" s="42"/>
      <c r="H30" s="11" t="s">
        <v>62</v>
      </c>
      <c r="K30" s="84"/>
      <c r="L30" s="85"/>
      <c r="M30" s="85"/>
      <c r="N30" s="86"/>
      <c r="O30" s="87"/>
      <c r="P30" s="85"/>
      <c r="Q30" s="85"/>
      <c r="R30" s="86"/>
      <c r="S30" s="88" t="s">
        <v>88</v>
      </c>
    </row>
    <row r="31" spans="1:21" ht="36" customHeight="1">
      <c r="A31" s="44">
        <f>IF(ISBLANK(Distance Control_10),"",Control_10 Distance)</f>
      </c>
      <c r="B31" s="45">
        <f>Control_10 Open_time</f>
        <v>0</v>
      </c>
      <c r="C31" s="45">
        <f>Control_10 Close_time</f>
        <v>0</v>
      </c>
      <c r="D31" s="40">
        <f>IF(ISBLANK(Locale Control_10),"",Locale Control_10)</f>
        <v>0</v>
      </c>
      <c r="E31" s="40">
        <f>IF(ISBLANK(Control_10 Establishment_2),"",Control_10 Establishment_2)</f>
        <v>0</v>
      </c>
      <c r="F31" s="41"/>
      <c r="G31" s="42"/>
      <c r="H31" s="11" t="s">
        <v>62</v>
      </c>
      <c r="K31" s="89"/>
      <c r="L31" s="69"/>
      <c r="M31" s="69"/>
      <c r="N31" s="90"/>
      <c r="O31" s="91"/>
      <c r="P31" s="69"/>
      <c r="Q31" s="69"/>
      <c r="R31" s="90"/>
      <c r="S31" s="66"/>
      <c r="U31" s="71"/>
    </row>
    <row r="32" spans="1:21" ht="36" customHeight="1">
      <c r="A32" s="46"/>
      <c r="B32" s="47">
        <f>Control_10 Open_time</f>
        <v>0</v>
      </c>
      <c r="C32" s="47">
        <f>Control_10 Close_time</f>
        <v>0</v>
      </c>
      <c r="D32" s="48"/>
      <c r="E32" s="49">
        <f>IF(ISBLANK(Control_10 Establishment_3),"",Control_10 Establishment_3)</f>
        <v>0</v>
      </c>
      <c r="F32" s="50"/>
      <c r="G32" s="51"/>
      <c r="H32" s="11" t="s">
        <v>62</v>
      </c>
      <c r="L32" s="64" t="s">
        <v>89</v>
      </c>
      <c r="M32" s="66"/>
      <c r="N32" s="62" t="str">
        <f>IF(ISBLANK(Brevet_Number),"",Brevet_Number)</f>
        <v>VI0601A</v>
      </c>
      <c r="O32" s="62"/>
      <c r="P32" s="62"/>
      <c r="Q32" s="66"/>
      <c r="R32" s="66"/>
      <c r="S32" s="66"/>
      <c r="U32" s="71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2">
    <mergeCell ref="A1:G1"/>
    <mergeCell ref="J8:T8"/>
    <mergeCell ref="J9:S9"/>
    <mergeCell ref="J10:T10"/>
    <mergeCell ref="S16:T16"/>
    <mergeCell ref="L18:N18"/>
    <mergeCell ref="K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46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C2" sqref="C2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6384" width="8.8515625" style="0" customWidth="1"/>
  </cols>
  <sheetData>
    <row r="1" spans="1:18" ht="24.75">
      <c r="A1" s="92"/>
      <c r="B1" s="93" t="s">
        <v>90</v>
      </c>
      <c r="C1" s="93" t="s">
        <v>91</v>
      </c>
      <c r="D1" s="93" t="s">
        <v>92</v>
      </c>
      <c r="E1" s="93" t="s">
        <v>93</v>
      </c>
      <c r="F1" s="93" t="s">
        <v>94</v>
      </c>
      <c r="G1" s="93" t="s">
        <v>70</v>
      </c>
      <c r="H1" s="94" t="s">
        <v>71</v>
      </c>
      <c r="I1" s="93" t="s">
        <v>72</v>
      </c>
      <c r="J1" s="93" t="s">
        <v>73</v>
      </c>
      <c r="K1" s="95" t="s">
        <v>95</v>
      </c>
      <c r="L1" s="95" t="s">
        <v>96</v>
      </c>
      <c r="M1" s="96" t="s">
        <v>97</v>
      </c>
      <c r="N1" s="97" t="s">
        <v>75</v>
      </c>
      <c r="O1" s="98" t="s">
        <v>98</v>
      </c>
      <c r="P1" s="98" t="s">
        <v>99</v>
      </c>
      <c r="Q1" s="98" t="s">
        <v>100</v>
      </c>
      <c r="R1" s="98" t="s">
        <v>101</v>
      </c>
    </row>
    <row r="2" spans="1:18" ht="12.75">
      <c r="A2" s="92"/>
      <c r="B2" s="99">
        <f aca="true" t="shared" si="0" ref="B2:N2">IF(ISBLANK(B3),"",B3)</f>
      </c>
      <c r="C2" s="99">
        <f t="shared" si="0"/>
      </c>
      <c r="D2" s="99">
        <f t="shared" si="0"/>
      </c>
      <c r="E2" s="99">
        <f t="shared" si="0"/>
      </c>
      <c r="F2" s="99">
        <f t="shared" si="0"/>
      </c>
      <c r="G2" s="99">
        <f t="shared" si="0"/>
      </c>
      <c r="H2" s="99">
        <f t="shared" si="0"/>
      </c>
      <c r="I2" s="99">
        <f t="shared" si="0"/>
      </c>
      <c r="J2" s="99">
        <f t="shared" si="0"/>
      </c>
      <c r="K2" s="100">
        <f t="shared" si="0"/>
      </c>
      <c r="L2" s="100">
        <f t="shared" si="0"/>
      </c>
      <c r="M2" s="100">
        <f t="shared" si="0"/>
      </c>
      <c r="N2" s="99">
        <f t="shared" si="0"/>
      </c>
      <c r="O2" s="101"/>
      <c r="P2" s="102"/>
      <c r="Q2" s="101"/>
      <c r="R2" s="101"/>
    </row>
    <row r="3" spans="1:18" ht="12.75">
      <c r="A3" s="103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5"/>
      <c r="M3" s="105"/>
      <c r="N3" s="104"/>
      <c r="O3" s="106"/>
      <c r="P3" s="107"/>
      <c r="Q3" s="106"/>
      <c r="R3" s="106"/>
    </row>
    <row r="4" spans="2:18" ht="12.75"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5"/>
      <c r="M4" s="105"/>
      <c r="N4" s="104"/>
      <c r="O4" s="107"/>
      <c r="P4" s="107"/>
      <c r="Q4" s="107"/>
      <c r="R4" s="106"/>
    </row>
    <row r="5" spans="1:18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04"/>
      <c r="O5" s="106"/>
      <c r="P5" s="106"/>
      <c r="Q5" s="106"/>
      <c r="R5" s="106"/>
    </row>
    <row r="6" spans="1:18" ht="12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4"/>
      <c r="O6" s="106"/>
      <c r="P6" s="106"/>
      <c r="Q6" s="106"/>
      <c r="R6" s="106"/>
    </row>
    <row r="7" spans="2:18" ht="12.75"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105"/>
      <c r="M7" s="105"/>
      <c r="N7" s="104"/>
      <c r="O7" s="107"/>
      <c r="P7" s="106"/>
      <c r="Q7" s="107"/>
      <c r="R7" s="106"/>
    </row>
    <row r="8" spans="1:18" ht="12.7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105"/>
      <c r="M8" s="105"/>
      <c r="N8" s="104"/>
      <c r="O8" s="106"/>
      <c r="P8" s="107"/>
      <c r="Q8" s="106"/>
      <c r="R8" s="106"/>
    </row>
    <row r="9" spans="2:18" ht="12.75"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105"/>
      <c r="M9" s="105"/>
      <c r="N9" s="104"/>
      <c r="O9" s="107"/>
      <c r="P9" s="107"/>
      <c r="Q9" s="107"/>
      <c r="R9" s="106"/>
    </row>
    <row r="10" spans="1:18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  <c r="L10" s="105"/>
      <c r="M10" s="105"/>
      <c r="N10" s="104"/>
      <c r="O10" s="106"/>
      <c r="P10" s="107"/>
      <c r="Q10" s="106"/>
      <c r="R10" s="106"/>
    </row>
    <row r="11" spans="2:18" ht="12.75"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105"/>
      <c r="M11" s="105"/>
      <c r="N11" s="104"/>
      <c r="O11" s="107"/>
      <c r="P11" s="106"/>
      <c r="Q11" s="107"/>
      <c r="R11" s="106"/>
    </row>
    <row r="12" spans="1:18" ht="12.7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5"/>
      <c r="L12" s="105"/>
      <c r="M12" s="105"/>
      <c r="N12" s="104"/>
      <c r="O12" s="106"/>
      <c r="P12" s="107"/>
      <c r="Q12" s="106"/>
      <c r="R12" s="106"/>
    </row>
    <row r="13" spans="1:18" ht="12.7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105"/>
      <c r="M13" s="105"/>
      <c r="N13" s="104"/>
      <c r="O13" s="106"/>
      <c r="P13" s="106"/>
      <c r="Q13" s="106"/>
      <c r="R13" s="106"/>
    </row>
    <row r="14" spans="1:18" ht="12.7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105"/>
      <c r="M14" s="105"/>
      <c r="N14" s="104"/>
      <c r="O14" s="106"/>
      <c r="P14" s="107"/>
      <c r="Q14" s="106"/>
      <c r="R14" s="106"/>
    </row>
    <row r="15" spans="1:18" ht="12.7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5"/>
      <c r="M15" s="105"/>
      <c r="N15" s="104"/>
      <c r="O15" s="106"/>
      <c r="P15" s="107"/>
      <c r="Q15" s="106"/>
      <c r="R15" s="106"/>
    </row>
    <row r="16" spans="1:18" ht="12.7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  <c r="L16" s="105"/>
      <c r="M16" s="105"/>
      <c r="N16" s="104"/>
      <c r="O16" s="106"/>
      <c r="P16" s="106"/>
      <c r="Q16" s="106"/>
      <c r="R16" s="106"/>
    </row>
    <row r="17" spans="1:18" ht="12.7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8"/>
      <c r="L17" s="105"/>
      <c r="M17" s="105"/>
      <c r="N17" s="104"/>
      <c r="O17" s="106"/>
      <c r="P17" s="107"/>
      <c r="Q17" s="106"/>
      <c r="R17" s="106"/>
    </row>
    <row r="18" spans="1:18" ht="12.75">
      <c r="A18" s="103"/>
      <c r="B18" s="104"/>
      <c r="C18" s="104"/>
      <c r="D18" s="104"/>
      <c r="E18" s="109"/>
      <c r="F18" s="104"/>
      <c r="G18" s="104"/>
      <c r="H18" s="104"/>
      <c r="I18" s="104"/>
      <c r="J18" s="104"/>
      <c r="K18" s="105"/>
      <c r="L18" s="105"/>
      <c r="M18" s="105"/>
      <c r="N18" s="104"/>
      <c r="O18" s="106"/>
      <c r="P18" s="107"/>
      <c r="Q18" s="106"/>
      <c r="R18" s="106"/>
    </row>
    <row r="19" spans="1:18" ht="12.7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105"/>
      <c r="M19" s="105"/>
      <c r="N19" s="104"/>
      <c r="O19" s="106"/>
      <c r="P19" s="107"/>
      <c r="Q19" s="106"/>
      <c r="R19" s="106"/>
    </row>
    <row r="20" spans="1:18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105"/>
      <c r="M20" s="105"/>
      <c r="N20" s="104"/>
      <c r="O20" s="106"/>
      <c r="P20" s="107"/>
      <c r="Q20" s="106"/>
      <c r="R20" s="106"/>
    </row>
    <row r="21" spans="1:18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L21" s="105"/>
      <c r="M21" s="105"/>
      <c r="N21" s="104"/>
      <c r="O21" s="106"/>
      <c r="P21" s="106"/>
      <c r="Q21" s="106"/>
      <c r="R21" s="106"/>
    </row>
    <row r="22" spans="1:18" ht="12.7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5"/>
      <c r="M22" s="105"/>
      <c r="N22" s="104"/>
      <c r="O22" s="106"/>
      <c r="P22" s="106"/>
      <c r="Q22" s="106"/>
      <c r="R22" s="106"/>
    </row>
    <row r="23" spans="1:18" ht="12.7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5"/>
      <c r="L23" s="105"/>
      <c r="M23" s="105"/>
      <c r="N23" s="104"/>
      <c r="O23" s="106"/>
      <c r="P23" s="106"/>
      <c r="Q23" s="106"/>
      <c r="R23" s="106"/>
    </row>
    <row r="24" spans="1:18" ht="12.7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105"/>
      <c r="M24" s="105"/>
      <c r="N24" s="104"/>
      <c r="O24" s="106"/>
      <c r="P24" s="107"/>
      <c r="Q24" s="106"/>
      <c r="R24" s="106"/>
    </row>
    <row r="25" spans="1:18" ht="12.7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4"/>
      <c r="O25" s="106"/>
      <c r="P25" s="106"/>
      <c r="Q25" s="106"/>
      <c r="R25" s="106"/>
    </row>
    <row r="26" spans="1:18" ht="12.7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5"/>
      <c r="M26" s="105"/>
      <c r="N26" s="104"/>
      <c r="O26" s="106"/>
      <c r="P26" s="107"/>
      <c r="Q26" s="106"/>
      <c r="R26" s="106"/>
    </row>
    <row r="27" spans="1:18" ht="12.7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5"/>
      <c r="L27" s="105"/>
      <c r="M27" s="105"/>
      <c r="N27" s="104"/>
      <c r="O27" s="106"/>
      <c r="P27" s="107"/>
      <c r="Q27" s="106"/>
      <c r="R27" s="106"/>
    </row>
    <row r="28" spans="1:18" ht="12.7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105"/>
      <c r="M28" s="105"/>
      <c r="N28" s="104"/>
      <c r="O28" s="106"/>
      <c r="P28" s="107"/>
      <c r="Q28" s="106"/>
      <c r="R28" s="106"/>
    </row>
    <row r="29" spans="1:18" ht="12.7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5"/>
      <c r="L29" s="105"/>
      <c r="M29" s="105"/>
      <c r="N29" s="104"/>
      <c r="O29" s="106"/>
      <c r="P29" s="107"/>
      <c r="Q29" s="106"/>
      <c r="R29" s="106"/>
    </row>
    <row r="30" spans="1:18" ht="12.7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5"/>
      <c r="L30" s="105"/>
      <c r="M30" s="105"/>
      <c r="N30" s="104"/>
      <c r="O30" s="106"/>
      <c r="P30" s="107"/>
      <c r="Q30" s="106"/>
      <c r="R30" s="106"/>
    </row>
    <row r="31" spans="1:18" ht="12.7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5"/>
      <c r="L31" s="105"/>
      <c r="M31" s="105"/>
      <c r="N31" s="104"/>
      <c r="O31" s="106"/>
      <c r="P31" s="107"/>
      <c r="Q31" s="106"/>
      <c r="R31" s="106"/>
    </row>
    <row r="32" spans="11:18" ht="12.75">
      <c r="K32" s="110"/>
      <c r="L32" s="110"/>
      <c r="M32" s="110"/>
      <c r="O32" s="111"/>
      <c r="Q32" s="111"/>
      <c r="R32" s="111"/>
    </row>
    <row r="34" ht="12.75">
      <c r="P34" t="s">
        <v>102</v>
      </c>
    </row>
    <row r="35" ht="12.75">
      <c r="P35" t="s">
        <v>103</v>
      </c>
    </row>
    <row r="36" ht="12.75">
      <c r="P36" t="s">
        <v>104</v>
      </c>
    </row>
    <row r="37" ht="12.75">
      <c r="P37" t="s">
        <v>105</v>
      </c>
    </row>
    <row r="38" ht="12.75">
      <c r="P38" t="s">
        <v>106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6"/>
  <sheetViews>
    <sheetView tabSelected="1" zoomScale="75" zoomScaleNormal="75" workbookViewId="0" topLeftCell="A1">
      <selection activeCell="D34" sqref="D34"/>
    </sheetView>
  </sheetViews>
  <sheetFormatPr defaultColWidth="9.140625" defaultRowHeight="12.75"/>
  <cols>
    <col min="1" max="1" width="5.57421875" style="112" customWidth="1"/>
    <col min="2" max="2" width="3.7109375" style="113" customWidth="1"/>
    <col min="3" max="3" width="32.57421875" style="114" customWidth="1"/>
    <col min="4" max="4" width="5.57421875" style="112" customWidth="1"/>
    <col min="5" max="5" width="0.71875" style="0" customWidth="1"/>
    <col min="6" max="6" width="5.8515625" style="112" customWidth="1"/>
    <col min="7" max="7" width="3.7109375" style="113" customWidth="1"/>
    <col min="8" max="8" width="31.7109375" style="114" customWidth="1"/>
    <col min="9" max="9" width="5.57421875" style="112" customWidth="1"/>
    <col min="10" max="11" width="8.8515625" style="0" customWidth="1"/>
    <col min="12" max="12" width="9.140625" style="115" customWidth="1"/>
    <col min="13" max="16384" width="8.8515625" style="0" customWidth="1"/>
  </cols>
  <sheetData>
    <row r="1" spans="1:9" ht="37.5" customHeight="1">
      <c r="A1" s="116" t="s">
        <v>107</v>
      </c>
      <c r="B1" s="117" t="s">
        <v>108</v>
      </c>
      <c r="C1" s="118" t="s">
        <v>109</v>
      </c>
      <c r="D1" s="119" t="s">
        <v>110</v>
      </c>
      <c r="E1" s="120"/>
      <c r="F1" s="116" t="s">
        <v>107</v>
      </c>
      <c r="G1" s="117" t="s">
        <v>108</v>
      </c>
      <c r="H1" s="118" t="s">
        <v>109</v>
      </c>
      <c r="I1" s="119" t="s">
        <v>110</v>
      </c>
    </row>
    <row r="2" spans="1:9" ht="15">
      <c r="A2" s="121"/>
      <c r="B2" s="122"/>
      <c r="C2" s="123" t="s">
        <v>111</v>
      </c>
      <c r="D2" s="124"/>
      <c r="E2" s="125"/>
      <c r="F2" s="121">
        <f>A16+D16</f>
        <v>80.4</v>
      </c>
      <c r="G2" s="122" t="s">
        <v>112</v>
      </c>
      <c r="H2" s="126" t="s">
        <v>113</v>
      </c>
      <c r="I2" s="124">
        <v>0.2</v>
      </c>
    </row>
    <row r="3" spans="1:9" ht="15">
      <c r="A3" s="127"/>
      <c r="B3" s="128"/>
      <c r="C3" s="129" t="s">
        <v>114</v>
      </c>
      <c r="D3" s="130"/>
      <c r="E3" s="125"/>
      <c r="F3" s="127">
        <f>F2+I2</f>
        <v>80.60000000000001</v>
      </c>
      <c r="G3" s="128" t="s">
        <v>115</v>
      </c>
      <c r="H3" s="131" t="s">
        <v>116</v>
      </c>
      <c r="I3" s="130">
        <v>2.7</v>
      </c>
    </row>
    <row r="4" spans="1:9" ht="15">
      <c r="A4" s="127"/>
      <c r="B4" s="128"/>
      <c r="C4" s="132"/>
      <c r="D4" s="130"/>
      <c r="E4" s="125"/>
      <c r="F4" s="127">
        <f>F3+I3</f>
        <v>83.30000000000001</v>
      </c>
      <c r="G4" s="128" t="s">
        <v>117</v>
      </c>
      <c r="H4" s="131" t="s">
        <v>118</v>
      </c>
      <c r="I4" s="130">
        <v>88.2</v>
      </c>
    </row>
    <row r="5" spans="1:9" ht="15">
      <c r="A5" s="127">
        <v>0</v>
      </c>
      <c r="B5" s="128" t="s">
        <v>115</v>
      </c>
      <c r="C5" s="133" t="s">
        <v>119</v>
      </c>
      <c r="D5" s="130">
        <v>0.1</v>
      </c>
      <c r="E5" s="125"/>
      <c r="F5" s="127">
        <f>F4+I4</f>
        <v>171.5</v>
      </c>
      <c r="G5" s="128" t="s">
        <v>115</v>
      </c>
      <c r="H5" s="131" t="s">
        <v>120</v>
      </c>
      <c r="I5" s="130">
        <v>29.7</v>
      </c>
    </row>
    <row r="6" spans="1:9" ht="15">
      <c r="A6" s="127">
        <f aca="true" t="shared" si="0" ref="A6:A14">A5+D5</f>
        <v>0.1</v>
      </c>
      <c r="B6" s="128" t="s">
        <v>115</v>
      </c>
      <c r="C6" s="133" t="s">
        <v>121</v>
      </c>
      <c r="D6" s="130">
        <v>0.5</v>
      </c>
      <c r="E6" s="125"/>
      <c r="F6" s="127">
        <f>F5+I5</f>
        <v>201.2</v>
      </c>
      <c r="G6" s="128" t="s">
        <v>117</v>
      </c>
      <c r="H6" s="131" t="s">
        <v>122</v>
      </c>
      <c r="I6" s="130">
        <v>2.7</v>
      </c>
    </row>
    <row r="7" spans="1:12" ht="15">
      <c r="A7" s="127">
        <f t="shared" si="0"/>
        <v>0.6</v>
      </c>
      <c r="B7" s="128" t="s">
        <v>115</v>
      </c>
      <c r="C7" s="133" t="s">
        <v>123</v>
      </c>
      <c r="D7" s="130">
        <v>0.3</v>
      </c>
      <c r="E7" s="125"/>
      <c r="F7" s="127"/>
      <c r="G7" s="128"/>
      <c r="H7" s="131"/>
      <c r="I7" s="130"/>
      <c r="L7"/>
    </row>
    <row r="8" spans="1:9" ht="15">
      <c r="A8" s="134">
        <f t="shared" si="0"/>
        <v>0.8999999999999999</v>
      </c>
      <c r="B8" s="135" t="s">
        <v>112</v>
      </c>
      <c r="C8" s="136" t="s">
        <v>124</v>
      </c>
      <c r="D8" s="137">
        <v>5.6</v>
      </c>
      <c r="E8" s="125"/>
      <c r="F8" s="138">
        <f>F6+I6</f>
        <v>203.89999999999998</v>
      </c>
      <c r="G8" s="128"/>
      <c r="H8" s="139" t="s">
        <v>125</v>
      </c>
      <c r="I8" s="130"/>
    </row>
    <row r="9" spans="1:12" ht="15">
      <c r="A9" s="134">
        <f t="shared" si="0"/>
        <v>6.5</v>
      </c>
      <c r="B9" s="135" t="s">
        <v>117</v>
      </c>
      <c r="C9" s="136" t="s">
        <v>126</v>
      </c>
      <c r="D9" s="137">
        <v>1.4</v>
      </c>
      <c r="E9" s="125"/>
      <c r="F9" s="127"/>
      <c r="G9" s="128"/>
      <c r="H9" s="139" t="s">
        <v>127</v>
      </c>
      <c r="I9" s="130"/>
      <c r="L9"/>
    </row>
    <row r="10" spans="1:12" ht="15">
      <c r="A10" s="134">
        <f t="shared" si="0"/>
        <v>7.9</v>
      </c>
      <c r="B10" s="135" t="s">
        <v>115</v>
      </c>
      <c r="C10" s="136" t="s">
        <v>128</v>
      </c>
      <c r="D10" s="137">
        <v>5.4</v>
      </c>
      <c r="E10" s="125"/>
      <c r="F10" s="127"/>
      <c r="G10" s="128"/>
      <c r="H10" s="128"/>
      <c r="I10" s="130"/>
      <c r="L10"/>
    </row>
    <row r="11" spans="1:12" ht="15">
      <c r="A11" s="134">
        <f t="shared" si="0"/>
        <v>13.3</v>
      </c>
      <c r="B11" s="135" t="s">
        <v>129</v>
      </c>
      <c r="C11" s="136" t="s">
        <v>130</v>
      </c>
      <c r="D11" s="137">
        <v>21.8</v>
      </c>
      <c r="E11" s="125"/>
      <c r="F11" s="127"/>
      <c r="G11" s="128"/>
      <c r="H11" s="131"/>
      <c r="I11" s="130"/>
      <c r="L11"/>
    </row>
    <row r="12" spans="1:12" ht="15">
      <c r="A12" s="127">
        <f t="shared" si="0"/>
        <v>35.1</v>
      </c>
      <c r="B12" s="128" t="s">
        <v>115</v>
      </c>
      <c r="C12" s="131" t="s">
        <v>131</v>
      </c>
      <c r="D12" s="130">
        <v>0.5</v>
      </c>
      <c r="E12" s="125"/>
      <c r="F12" s="127"/>
      <c r="G12" s="128" t="s">
        <v>132</v>
      </c>
      <c r="H12" s="131" t="s">
        <v>133</v>
      </c>
      <c r="I12" s="130">
        <v>2.7</v>
      </c>
      <c r="L12"/>
    </row>
    <row r="13" spans="1:12" ht="15">
      <c r="A13" s="127">
        <f t="shared" si="0"/>
        <v>35.6</v>
      </c>
      <c r="B13" s="128" t="s">
        <v>112</v>
      </c>
      <c r="C13" s="131" t="s">
        <v>134</v>
      </c>
      <c r="D13" s="130">
        <v>9.6</v>
      </c>
      <c r="E13" s="125"/>
      <c r="F13" s="127">
        <f>F8+I12</f>
        <v>206.59999999999997</v>
      </c>
      <c r="G13" s="128" t="s">
        <v>117</v>
      </c>
      <c r="H13" s="131" t="s">
        <v>135</v>
      </c>
      <c r="I13" s="130">
        <v>29.7</v>
      </c>
      <c r="L13"/>
    </row>
    <row r="14" spans="1:12" ht="15">
      <c r="A14" s="127">
        <f t="shared" si="0"/>
        <v>45.2</v>
      </c>
      <c r="B14" s="128" t="s">
        <v>112</v>
      </c>
      <c r="C14" s="131" t="s">
        <v>136</v>
      </c>
      <c r="D14" s="130">
        <v>35.2</v>
      </c>
      <c r="E14" s="125"/>
      <c r="F14" s="127">
        <f>F13+I13</f>
        <v>236.29999999999995</v>
      </c>
      <c r="G14" s="128" t="s">
        <v>112</v>
      </c>
      <c r="H14" s="131" t="s">
        <v>137</v>
      </c>
      <c r="I14" s="130">
        <v>88.2</v>
      </c>
      <c r="L14"/>
    </row>
    <row r="15" spans="1:12" ht="15">
      <c r="A15" s="127"/>
      <c r="B15" s="128"/>
      <c r="C15" s="131"/>
      <c r="D15" s="130"/>
      <c r="E15" s="125"/>
      <c r="F15" s="127">
        <f>F14+I14</f>
        <v>324.49999999999994</v>
      </c>
      <c r="G15" s="128" t="s">
        <v>117</v>
      </c>
      <c r="H15" s="131" t="s">
        <v>116</v>
      </c>
      <c r="I15" s="130">
        <v>2.7</v>
      </c>
      <c r="L15"/>
    </row>
    <row r="16" spans="1:12" ht="15">
      <c r="A16" s="138">
        <f>A14+D14</f>
        <v>80.4</v>
      </c>
      <c r="B16" s="139" t="s">
        <v>112</v>
      </c>
      <c r="C16" s="139" t="s">
        <v>138</v>
      </c>
      <c r="D16" s="140"/>
      <c r="E16" s="125"/>
      <c r="F16" s="127">
        <f>F15+I15</f>
        <v>327.19999999999993</v>
      </c>
      <c r="G16" s="128" t="s">
        <v>112</v>
      </c>
      <c r="H16" s="131" t="s">
        <v>139</v>
      </c>
      <c r="I16" s="130">
        <v>0.2</v>
      </c>
      <c r="L16"/>
    </row>
    <row r="17" spans="1:12" ht="15">
      <c r="A17" s="127"/>
      <c r="B17" s="139"/>
      <c r="C17" s="139" t="s">
        <v>140</v>
      </c>
      <c r="D17" s="140"/>
      <c r="E17" s="125"/>
      <c r="F17" s="127"/>
      <c r="G17" s="128"/>
      <c r="H17" s="131"/>
      <c r="I17" s="130"/>
      <c r="L17"/>
    </row>
    <row r="18" spans="1:12" ht="15">
      <c r="A18" s="127"/>
      <c r="B18" s="139"/>
      <c r="C18" s="141"/>
      <c r="D18" s="140"/>
      <c r="E18" s="125"/>
      <c r="F18" s="142">
        <f>F16+I16</f>
        <v>327.3999999999999</v>
      </c>
      <c r="G18" s="143" t="s">
        <v>115</v>
      </c>
      <c r="H18" s="139" t="s">
        <v>141</v>
      </c>
      <c r="I18" s="140"/>
      <c r="L18"/>
    </row>
    <row r="19" spans="1:12" ht="15">
      <c r="A19" s="127"/>
      <c r="B19" s="139"/>
      <c r="C19" s="141" t="s">
        <v>142</v>
      </c>
      <c r="D19" s="140"/>
      <c r="E19" s="125"/>
      <c r="F19" s="138"/>
      <c r="G19" s="139"/>
      <c r="H19" s="139" t="s">
        <v>140</v>
      </c>
      <c r="I19" s="140"/>
      <c r="L19"/>
    </row>
    <row r="20" spans="1:12" ht="15">
      <c r="A20" s="144"/>
      <c r="B20" s="145"/>
      <c r="C20" s="146"/>
      <c r="D20" s="147"/>
      <c r="E20" s="125"/>
      <c r="F20" s="144"/>
      <c r="G20" s="145"/>
      <c r="H20" s="146"/>
      <c r="I20" s="147"/>
      <c r="L20"/>
    </row>
    <row r="21" spans="1:9" ht="15">
      <c r="A21" s="127"/>
      <c r="B21" s="128"/>
      <c r="C21" s="131"/>
      <c r="D21" s="130"/>
      <c r="E21" s="125"/>
      <c r="F21" s="144"/>
      <c r="G21" s="145"/>
      <c r="H21" s="146"/>
      <c r="I21" s="147"/>
    </row>
    <row r="22" spans="1:9" ht="15">
      <c r="A22" s="127"/>
      <c r="B22" s="128"/>
      <c r="C22" s="131"/>
      <c r="D22" s="130"/>
      <c r="E22" s="125"/>
      <c r="F22" s="144"/>
      <c r="G22" s="145"/>
      <c r="H22" s="146"/>
      <c r="I22" s="147"/>
    </row>
    <row r="23" spans="1:9" ht="15">
      <c r="A23" s="148"/>
      <c r="B23" s="149"/>
      <c r="C23" s="150"/>
      <c r="D23" s="151"/>
      <c r="E23" s="125"/>
      <c r="F23" s="148"/>
      <c r="G23" s="149"/>
      <c r="H23" s="150"/>
      <c r="I23" s="151"/>
    </row>
    <row r="24" spans="1:9" ht="4.5" customHeight="1">
      <c r="A24" s="152"/>
      <c r="B24" s="153"/>
      <c r="C24" s="154"/>
      <c r="D24" s="152"/>
      <c r="E24" s="120"/>
      <c r="F24" s="152"/>
      <c r="G24" s="153"/>
      <c r="H24" s="154"/>
      <c r="I24" s="152"/>
    </row>
    <row r="25" spans="1:9" ht="39" customHeight="1">
      <c r="A25" s="116" t="s">
        <v>107</v>
      </c>
      <c r="B25" s="117" t="s">
        <v>108</v>
      </c>
      <c r="C25" s="118" t="s">
        <v>109</v>
      </c>
      <c r="D25" s="119" t="s">
        <v>110</v>
      </c>
      <c r="E25" s="120"/>
      <c r="F25" s="116" t="s">
        <v>107</v>
      </c>
      <c r="G25" s="117" t="s">
        <v>108</v>
      </c>
      <c r="H25" s="118" t="s">
        <v>109</v>
      </c>
      <c r="I25" s="119" t="s">
        <v>110</v>
      </c>
    </row>
    <row r="26" spans="1:104" s="162" customFormat="1" ht="13.5">
      <c r="A26" s="155">
        <f>F18+I18</f>
        <v>327.3999999999999</v>
      </c>
      <c r="B26" s="156" t="s">
        <v>115</v>
      </c>
      <c r="C26" s="157" t="s">
        <v>139</v>
      </c>
      <c r="D26" s="158">
        <v>35.2</v>
      </c>
      <c r="E26" s="120"/>
      <c r="F26" s="159">
        <f>A41</f>
        <v>410.39999999999986</v>
      </c>
      <c r="G26" s="160" t="s">
        <v>112</v>
      </c>
      <c r="H26" s="160" t="s">
        <v>119</v>
      </c>
      <c r="I26" s="161">
        <v>0.1</v>
      </c>
      <c r="J26"/>
      <c r="K26"/>
      <c r="L26" s="11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62" customFormat="1" ht="13.5">
      <c r="A27" s="134">
        <f>A26+D26</f>
        <v>362.5999999999999</v>
      </c>
      <c r="B27" s="135" t="s">
        <v>115</v>
      </c>
      <c r="C27" s="136" t="s">
        <v>143</v>
      </c>
      <c r="D27" s="137">
        <v>9.4</v>
      </c>
      <c r="E27" s="120"/>
      <c r="F27" s="163">
        <f>F26+I26</f>
        <v>410.4999999999999</v>
      </c>
      <c r="G27" s="164" t="s">
        <v>115</v>
      </c>
      <c r="H27" s="164" t="s">
        <v>144</v>
      </c>
      <c r="I27" s="165">
        <v>0.1</v>
      </c>
      <c r="J27"/>
      <c r="K27"/>
      <c r="L27" s="11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62" customFormat="1" ht="13.5">
      <c r="A28" s="134">
        <f>A27+D27</f>
        <v>371.9999999999999</v>
      </c>
      <c r="B28" s="135" t="s">
        <v>117</v>
      </c>
      <c r="C28" s="136" t="s">
        <v>145</v>
      </c>
      <c r="D28" s="137">
        <v>3.4</v>
      </c>
      <c r="E28" s="120"/>
      <c r="F28" s="166">
        <f>F27+I27</f>
        <v>410.5999999999999</v>
      </c>
      <c r="G28" s="167" t="s">
        <v>115</v>
      </c>
      <c r="H28" s="168" t="s">
        <v>146</v>
      </c>
      <c r="I28" s="169">
        <v>0.7</v>
      </c>
      <c r="J28"/>
      <c r="K28"/>
      <c r="L28" s="11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62" customFormat="1" ht="13.5">
      <c r="A29" s="134"/>
      <c r="B29" s="135"/>
      <c r="C29" s="136"/>
      <c r="D29" s="137"/>
      <c r="E29" s="120"/>
      <c r="F29" s="166">
        <f>F28+I28</f>
        <v>411.2999999999999</v>
      </c>
      <c r="G29" s="170" t="s">
        <v>117</v>
      </c>
      <c r="H29" s="136" t="s">
        <v>147</v>
      </c>
      <c r="I29" s="169">
        <v>1.6</v>
      </c>
      <c r="J29"/>
      <c r="K29"/>
      <c r="L29" s="11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62" customFormat="1" ht="13.5">
      <c r="A30" s="171">
        <f>A28+D28</f>
        <v>375.39999999999986</v>
      </c>
      <c r="B30" s="172" t="s">
        <v>115</v>
      </c>
      <c r="C30" s="173" t="s">
        <v>148</v>
      </c>
      <c r="D30" s="174"/>
      <c r="E30" s="120"/>
      <c r="F30" s="166">
        <f>F29+I29</f>
        <v>412.8999999999999</v>
      </c>
      <c r="G30" s="167" t="s">
        <v>117</v>
      </c>
      <c r="H30" s="168" t="s">
        <v>149</v>
      </c>
      <c r="I30" s="169">
        <v>3.5</v>
      </c>
      <c r="J30"/>
      <c r="K30"/>
      <c r="L30" s="115"/>
      <c r="M30" s="11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62" customFormat="1" ht="13.5">
      <c r="A31" s="175"/>
      <c r="B31" s="173"/>
      <c r="C31" s="173" t="s">
        <v>150</v>
      </c>
      <c r="D31" s="174"/>
      <c r="E31" s="120"/>
      <c r="F31" s="166">
        <f>F30+I30</f>
        <v>416.3999999999999</v>
      </c>
      <c r="G31" s="170" t="s">
        <v>117</v>
      </c>
      <c r="H31" s="176" t="s">
        <v>151</v>
      </c>
      <c r="I31" s="169">
        <v>1.6</v>
      </c>
      <c r="J31"/>
      <c r="K31"/>
      <c r="L31" s="11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62" customFormat="1" ht="13.5">
      <c r="A32" s="171"/>
      <c r="B32" s="172"/>
      <c r="C32" s="173"/>
      <c r="D32" s="174"/>
      <c r="E32" s="120"/>
      <c r="F32" s="166">
        <f aca="true" t="shared" si="1" ref="F32:F37">F31+I31</f>
        <v>417.99999999999994</v>
      </c>
      <c r="G32" s="170" t="s">
        <v>117</v>
      </c>
      <c r="H32" s="176" t="s">
        <v>152</v>
      </c>
      <c r="I32" s="169">
        <v>17</v>
      </c>
      <c r="J32"/>
      <c r="K32"/>
      <c r="L32" s="11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62" customFormat="1" ht="13.5">
      <c r="A33" s="134"/>
      <c r="B33" s="135" t="s">
        <v>115</v>
      </c>
      <c r="C33" s="136" t="s">
        <v>153</v>
      </c>
      <c r="D33" s="137">
        <v>5.3</v>
      </c>
      <c r="E33" s="120"/>
      <c r="F33" s="166">
        <f t="shared" si="1"/>
        <v>434.99999999999994</v>
      </c>
      <c r="G33" s="135" t="s">
        <v>117</v>
      </c>
      <c r="H33" s="136" t="s">
        <v>154</v>
      </c>
      <c r="I33" s="169">
        <v>10.9</v>
      </c>
      <c r="J33"/>
      <c r="K33"/>
      <c r="L33" s="11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62" customFormat="1" ht="13.5">
      <c r="A34" s="166">
        <f>A30+D33</f>
        <v>380.6999999999999</v>
      </c>
      <c r="B34" s="170" t="s">
        <v>115</v>
      </c>
      <c r="C34" s="176" t="s">
        <v>155</v>
      </c>
      <c r="D34" s="169">
        <v>16.9</v>
      </c>
      <c r="E34" s="120"/>
      <c r="F34" s="166">
        <f t="shared" si="1"/>
        <v>445.8999999999999</v>
      </c>
      <c r="G34" s="135" t="s">
        <v>117</v>
      </c>
      <c r="H34" s="136" t="s">
        <v>156</v>
      </c>
      <c r="I34" s="169">
        <v>11.3</v>
      </c>
      <c r="J34"/>
      <c r="K34"/>
      <c r="L34" s="11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62" customFormat="1" ht="13.5">
      <c r="A35" s="166">
        <f>A34+D34</f>
        <v>397.59999999999985</v>
      </c>
      <c r="B35" s="170" t="s">
        <v>115</v>
      </c>
      <c r="C35" s="176" t="s">
        <v>157</v>
      </c>
      <c r="D35" s="169">
        <v>0.6</v>
      </c>
      <c r="E35" s="120"/>
      <c r="F35" s="166">
        <f t="shared" si="1"/>
        <v>457.19999999999993</v>
      </c>
      <c r="G35" s="135" t="s">
        <v>115</v>
      </c>
      <c r="H35" s="136" t="s">
        <v>158</v>
      </c>
      <c r="I35" s="137">
        <v>2</v>
      </c>
      <c r="J35"/>
      <c r="K35"/>
      <c r="L35" s="11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62" customFormat="1" ht="13.5">
      <c r="A36" s="166">
        <f>A35+D35</f>
        <v>398.1999999999999</v>
      </c>
      <c r="B36" s="170" t="s">
        <v>117</v>
      </c>
      <c r="C36" s="176" t="s">
        <v>159</v>
      </c>
      <c r="D36" s="169">
        <v>6.4</v>
      </c>
      <c r="E36" s="120"/>
      <c r="F36" s="166">
        <f t="shared" si="1"/>
        <v>459.19999999999993</v>
      </c>
      <c r="G36" s="135" t="s">
        <v>117</v>
      </c>
      <c r="H36" s="136" t="s">
        <v>160</v>
      </c>
      <c r="I36" s="137">
        <v>22.9</v>
      </c>
      <c r="J36"/>
      <c r="K36"/>
      <c r="L36" s="11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62" customFormat="1" ht="13.5">
      <c r="A37" s="166">
        <f>A36+D36</f>
        <v>404.59999999999985</v>
      </c>
      <c r="B37" s="170" t="s">
        <v>115</v>
      </c>
      <c r="C37" s="136" t="s">
        <v>161</v>
      </c>
      <c r="D37" s="169">
        <v>5.3</v>
      </c>
      <c r="E37" s="120"/>
      <c r="F37" s="166">
        <f t="shared" si="1"/>
        <v>482.0999999999999</v>
      </c>
      <c r="G37" s="135" t="s">
        <v>117</v>
      </c>
      <c r="H37" s="136" t="s">
        <v>162</v>
      </c>
      <c r="I37" s="137">
        <v>1.7</v>
      </c>
      <c r="J37"/>
      <c r="K37"/>
      <c r="L37" s="11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62" customFormat="1" ht="13.5">
      <c r="A38" s="134">
        <f>A37+D37</f>
        <v>409.89999999999986</v>
      </c>
      <c r="B38" s="170" t="s">
        <v>117</v>
      </c>
      <c r="C38" s="177" t="s">
        <v>163</v>
      </c>
      <c r="D38" s="169">
        <v>0.5</v>
      </c>
      <c r="E38" s="120"/>
      <c r="F38" s="134"/>
      <c r="G38" s="135"/>
      <c r="H38" s="136"/>
      <c r="I38" s="137"/>
      <c r="J38"/>
      <c r="K38"/>
      <c r="L38" s="11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62" customFormat="1" ht="13.5">
      <c r="A39" s="178"/>
      <c r="B39" s="179"/>
      <c r="C39" s="179"/>
      <c r="D39" s="180"/>
      <c r="E39" s="120"/>
      <c r="F39" s="175">
        <f>F37+I37</f>
        <v>483.7999999999999</v>
      </c>
      <c r="G39" s="173" t="s">
        <v>115</v>
      </c>
      <c r="H39" s="173" t="s">
        <v>164</v>
      </c>
      <c r="I39" s="174"/>
      <c r="J39"/>
      <c r="K39"/>
      <c r="L39" s="11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62" customFormat="1" ht="13.5">
      <c r="A40" s="178"/>
      <c r="B40" s="179"/>
      <c r="C40" s="179"/>
      <c r="D40" s="180"/>
      <c r="E40" s="120"/>
      <c r="F40" s="175"/>
      <c r="G40" s="173"/>
      <c r="H40" s="173" t="s">
        <v>165</v>
      </c>
      <c r="I40" s="174"/>
      <c r="J40"/>
      <c r="K40"/>
      <c r="L40" s="11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62" customFormat="1" ht="13.5">
      <c r="A41" s="175">
        <f>A38+D38</f>
        <v>410.39999999999986</v>
      </c>
      <c r="B41" s="181" t="s">
        <v>115</v>
      </c>
      <c r="C41" s="181" t="s">
        <v>166</v>
      </c>
      <c r="D41" s="182"/>
      <c r="E41" s="120"/>
      <c r="F41" s="178"/>
      <c r="G41" s="179"/>
      <c r="H41" s="179"/>
      <c r="I41" s="180"/>
      <c r="J41"/>
      <c r="K41"/>
      <c r="L41" s="11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62" customFormat="1" ht="13.5">
      <c r="A42" s="134"/>
      <c r="B42" s="170"/>
      <c r="C42" s="181" t="s">
        <v>114</v>
      </c>
      <c r="D42" s="169"/>
      <c r="E42" s="120"/>
      <c r="F42" s="134"/>
      <c r="G42" s="135"/>
      <c r="H42" s="173" t="s">
        <v>167</v>
      </c>
      <c r="I42" s="137"/>
      <c r="J42"/>
      <c r="K42"/>
      <c r="L42" s="11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62" customFormat="1" ht="13.5">
      <c r="A43" s="134"/>
      <c r="B43" s="135"/>
      <c r="C43" s="136"/>
      <c r="D43" s="137"/>
      <c r="E43" s="120"/>
      <c r="F43" s="134"/>
      <c r="G43" s="135"/>
      <c r="H43" s="173"/>
      <c r="I43" s="137"/>
      <c r="J43"/>
      <c r="K43"/>
      <c r="L43" s="11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62" customFormat="1" ht="13.5">
      <c r="A44" s="134"/>
      <c r="B44" s="135"/>
      <c r="C44" s="136"/>
      <c r="D44" s="137"/>
      <c r="E44" s="120"/>
      <c r="F44" s="134"/>
      <c r="G44" s="135"/>
      <c r="H44" s="173" t="s">
        <v>168</v>
      </c>
      <c r="I44" s="137"/>
      <c r="J44"/>
      <c r="K44"/>
      <c r="L44" s="11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62" customFormat="1" ht="13.5">
      <c r="A45" s="134"/>
      <c r="B45" s="135"/>
      <c r="C45" s="136"/>
      <c r="D45" s="137"/>
      <c r="E45" s="120"/>
      <c r="F45" s="134"/>
      <c r="G45" s="135"/>
      <c r="H45" s="173" t="s">
        <v>169</v>
      </c>
      <c r="I45" s="137"/>
      <c r="J45"/>
      <c r="K45"/>
      <c r="L45" s="11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62" customFormat="1" ht="13.5">
      <c r="A46" s="134"/>
      <c r="B46" s="135"/>
      <c r="C46" s="173"/>
      <c r="D46" s="137"/>
      <c r="E46" s="120"/>
      <c r="F46" s="134"/>
      <c r="G46" s="135"/>
      <c r="H46" s="183"/>
      <c r="I46" s="137"/>
      <c r="J46"/>
      <c r="K46"/>
      <c r="L46" s="11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3.5">
      <c r="A47" s="184"/>
      <c r="B47" s="185"/>
      <c r="C47" s="186"/>
      <c r="D47" s="187"/>
      <c r="E47" s="120"/>
      <c r="F47" s="184"/>
      <c r="G47" s="185"/>
      <c r="H47" s="188"/>
      <c r="I47" s="187"/>
    </row>
    <row r="48" spans="1:9" ht="4.5" customHeight="1">
      <c r="A48" s="189"/>
      <c r="B48" s="190"/>
      <c r="C48" s="191"/>
      <c r="D48" s="189"/>
      <c r="E48" s="120"/>
      <c r="F48" s="189"/>
      <c r="G48" s="190"/>
      <c r="H48" s="191"/>
      <c r="I48" s="189"/>
    </row>
    <row r="49" spans="1:9" ht="36" customHeight="1">
      <c r="A49" s="116" t="s">
        <v>107</v>
      </c>
      <c r="B49" s="117" t="s">
        <v>108</v>
      </c>
      <c r="C49" s="118" t="s">
        <v>109</v>
      </c>
      <c r="D49" s="119" t="s">
        <v>110</v>
      </c>
      <c r="E49" s="120"/>
      <c r="F49" s="116" t="s">
        <v>107</v>
      </c>
      <c r="G49" s="117" t="s">
        <v>108</v>
      </c>
      <c r="H49" s="118" t="s">
        <v>109</v>
      </c>
      <c r="I49" s="119" t="s">
        <v>110</v>
      </c>
    </row>
    <row r="50" spans="1:9" ht="13.5">
      <c r="A50" s="155"/>
      <c r="B50" s="156" t="s">
        <v>132</v>
      </c>
      <c r="C50" s="157" t="s">
        <v>170</v>
      </c>
      <c r="D50" s="158">
        <v>0.2</v>
      </c>
      <c r="E50" s="120"/>
      <c r="F50" s="155">
        <f>A64</f>
        <v>532.2999999999998</v>
      </c>
      <c r="G50" s="156" t="s">
        <v>112</v>
      </c>
      <c r="H50" s="157" t="s">
        <v>171</v>
      </c>
      <c r="I50" s="158">
        <v>0.1</v>
      </c>
    </row>
    <row r="51" spans="1:9" ht="13.5">
      <c r="A51" s="134">
        <f>F39+D50</f>
        <v>483.9999999999999</v>
      </c>
      <c r="B51" s="135" t="s">
        <v>115</v>
      </c>
      <c r="C51" s="136" t="s">
        <v>172</v>
      </c>
      <c r="D51" s="137">
        <v>1.5</v>
      </c>
      <c r="E51" s="120"/>
      <c r="F51" s="134">
        <f>A64+I50</f>
        <v>532.3999999999999</v>
      </c>
      <c r="G51" s="135" t="s">
        <v>112</v>
      </c>
      <c r="H51" s="136" t="s">
        <v>173</v>
      </c>
      <c r="I51" s="137">
        <v>18.8</v>
      </c>
    </row>
    <row r="52" spans="1:9" ht="13.5">
      <c r="A52" s="134">
        <f>A51+D51</f>
        <v>485.4999999999999</v>
      </c>
      <c r="B52" s="135" t="s">
        <v>115</v>
      </c>
      <c r="C52" s="136" t="s">
        <v>174</v>
      </c>
      <c r="D52" s="137">
        <v>5.9</v>
      </c>
      <c r="E52" s="120"/>
      <c r="F52" s="134">
        <f>F51+I51</f>
        <v>551.1999999999998</v>
      </c>
      <c r="G52" s="135" t="s">
        <v>117</v>
      </c>
      <c r="H52" s="136" t="s">
        <v>175</v>
      </c>
      <c r="I52" s="137">
        <v>27.5</v>
      </c>
    </row>
    <row r="53" spans="1:9" ht="13.5">
      <c r="A53" s="134">
        <f>A52+D52</f>
        <v>491.39999999999986</v>
      </c>
      <c r="B53" s="135" t="s">
        <v>117</v>
      </c>
      <c r="C53" s="136" t="s">
        <v>176</v>
      </c>
      <c r="D53" s="137"/>
      <c r="E53" s="120"/>
      <c r="F53" s="134">
        <f aca="true" t="shared" si="2" ref="F53:F58">F52+I52</f>
        <v>578.6999999999998</v>
      </c>
      <c r="G53" s="135" t="s">
        <v>117</v>
      </c>
      <c r="H53" s="136" t="s">
        <v>177</v>
      </c>
      <c r="I53" s="137">
        <v>17</v>
      </c>
    </row>
    <row r="54" spans="1:9" ht="13.5">
      <c r="A54" s="134">
        <f>A53+D53</f>
        <v>491.39999999999986</v>
      </c>
      <c r="B54" s="135" t="s">
        <v>117</v>
      </c>
      <c r="C54" s="136" t="s">
        <v>174</v>
      </c>
      <c r="D54" s="137">
        <v>16.4</v>
      </c>
      <c r="E54" s="120"/>
      <c r="F54" s="166">
        <f t="shared" si="2"/>
        <v>595.6999999999998</v>
      </c>
      <c r="G54" s="170" t="s">
        <v>117</v>
      </c>
      <c r="H54" s="176" t="s">
        <v>178</v>
      </c>
      <c r="I54" s="169">
        <v>1.6</v>
      </c>
    </row>
    <row r="55" spans="1:9" ht="13.5">
      <c r="A55" s="134">
        <f aca="true" t="shared" si="3" ref="A55:A60">A54+D54</f>
        <v>507.79999999999984</v>
      </c>
      <c r="B55" s="135" t="s">
        <v>115</v>
      </c>
      <c r="C55" s="136" t="s">
        <v>179</v>
      </c>
      <c r="D55" s="137">
        <v>1.9</v>
      </c>
      <c r="E55" s="120"/>
      <c r="F55" s="166">
        <f t="shared" si="2"/>
        <v>597.2999999999998</v>
      </c>
      <c r="G55" s="135" t="s">
        <v>117</v>
      </c>
      <c r="H55" s="136" t="s">
        <v>180</v>
      </c>
      <c r="I55" s="169">
        <v>1.5</v>
      </c>
    </row>
    <row r="56" spans="1:9" ht="13.5">
      <c r="A56" s="134">
        <f t="shared" si="3"/>
        <v>509.6999999999998</v>
      </c>
      <c r="B56" s="135" t="s">
        <v>117</v>
      </c>
      <c r="C56" s="136" t="s">
        <v>181</v>
      </c>
      <c r="D56" s="137">
        <v>1.7</v>
      </c>
      <c r="E56" s="120"/>
      <c r="F56" s="166">
        <f t="shared" si="2"/>
        <v>598.7999999999998</v>
      </c>
      <c r="G56" s="192" t="s">
        <v>115</v>
      </c>
      <c r="H56" s="164" t="s">
        <v>182</v>
      </c>
      <c r="I56" s="169">
        <v>3.1</v>
      </c>
    </row>
    <row r="57" spans="1:9" ht="13.5">
      <c r="A57" s="134">
        <f t="shared" si="3"/>
        <v>511.3999999999998</v>
      </c>
      <c r="B57" s="135" t="s">
        <v>112</v>
      </c>
      <c r="C57" s="136" t="s">
        <v>183</v>
      </c>
      <c r="D57" s="137">
        <v>0</v>
      </c>
      <c r="E57" s="120"/>
      <c r="F57" s="166">
        <f t="shared" si="2"/>
        <v>601.8999999999999</v>
      </c>
      <c r="G57" s="170" t="s">
        <v>112</v>
      </c>
      <c r="H57" s="176" t="s">
        <v>184</v>
      </c>
      <c r="I57" s="169">
        <v>0.1</v>
      </c>
    </row>
    <row r="58" spans="1:9" ht="13.5">
      <c r="A58" s="134">
        <f t="shared" si="3"/>
        <v>511.3999999999998</v>
      </c>
      <c r="B58" s="135" t="s">
        <v>115</v>
      </c>
      <c r="C58" s="136" t="s">
        <v>185</v>
      </c>
      <c r="D58" s="137">
        <v>2</v>
      </c>
      <c r="E58" s="120"/>
      <c r="F58" s="166">
        <f t="shared" si="2"/>
        <v>601.9999999999999</v>
      </c>
      <c r="G58" s="135" t="s">
        <v>117</v>
      </c>
      <c r="H58" s="136" t="s">
        <v>186</v>
      </c>
      <c r="I58" s="169">
        <v>0</v>
      </c>
    </row>
    <row r="59" spans="1:9" ht="13.5">
      <c r="A59" s="134">
        <f t="shared" si="3"/>
        <v>513.3999999999999</v>
      </c>
      <c r="B59" s="135" t="s">
        <v>117</v>
      </c>
      <c r="C59" s="136" t="s">
        <v>187</v>
      </c>
      <c r="D59" s="137">
        <v>18.8</v>
      </c>
      <c r="E59" s="120"/>
      <c r="F59" s="166">
        <f>F58+I58</f>
        <v>601.9999999999999</v>
      </c>
      <c r="G59" s="170" t="s">
        <v>117</v>
      </c>
      <c r="H59" s="176" t="s">
        <v>188</v>
      </c>
      <c r="I59" s="169">
        <v>1.6</v>
      </c>
    </row>
    <row r="60" spans="1:9" ht="13.5">
      <c r="A60" s="134">
        <f t="shared" si="3"/>
        <v>532.1999999999998</v>
      </c>
      <c r="B60" s="135" t="s">
        <v>115</v>
      </c>
      <c r="C60" s="136" t="s">
        <v>189</v>
      </c>
      <c r="D60" s="137">
        <v>0.1</v>
      </c>
      <c r="E60" s="120"/>
      <c r="F60" s="193">
        <f>F59+I59</f>
        <v>603.5999999999999</v>
      </c>
      <c r="G60" s="135" t="s">
        <v>115</v>
      </c>
      <c r="H60" s="136" t="s">
        <v>121</v>
      </c>
      <c r="I60" s="137">
        <v>0.3</v>
      </c>
    </row>
    <row r="61" spans="1:9" ht="13.5">
      <c r="A61" s="194"/>
      <c r="B61" s="195"/>
      <c r="C61" s="196"/>
      <c r="D61" s="197"/>
      <c r="E61" s="120"/>
      <c r="F61" s="193">
        <f>F60+I60</f>
        <v>603.8999999999999</v>
      </c>
      <c r="G61" s="135" t="s">
        <v>112</v>
      </c>
      <c r="H61" s="136" t="s">
        <v>119</v>
      </c>
      <c r="I61" s="137">
        <v>0.1</v>
      </c>
    </row>
    <row r="62" spans="1:9" ht="13.5">
      <c r="A62" s="134"/>
      <c r="B62" s="135"/>
      <c r="C62" s="136"/>
      <c r="D62" s="137"/>
      <c r="E62" s="120"/>
      <c r="F62" s="193"/>
      <c r="G62" s="135"/>
      <c r="H62" s="198"/>
      <c r="I62" s="137"/>
    </row>
    <row r="63" spans="1:9" ht="13.5">
      <c r="A63" s="134"/>
      <c r="B63" s="135"/>
      <c r="C63" s="136"/>
      <c r="D63" s="137"/>
      <c r="E63" s="120"/>
      <c r="F63" s="134"/>
      <c r="G63" s="135"/>
      <c r="H63" s="136"/>
      <c r="I63" s="137"/>
    </row>
    <row r="64" spans="1:9" ht="13.5">
      <c r="A64" s="175">
        <f>A60+D60</f>
        <v>532.2999999999998</v>
      </c>
      <c r="B64" s="173" t="s">
        <v>115</v>
      </c>
      <c r="C64" s="173" t="s">
        <v>190</v>
      </c>
      <c r="D64" s="137"/>
      <c r="E64" s="120"/>
      <c r="F64" s="134"/>
      <c r="G64" s="135"/>
      <c r="H64" s="136"/>
      <c r="I64" s="137"/>
    </row>
    <row r="65" spans="1:9" ht="13.5">
      <c r="A65" s="134"/>
      <c r="B65" s="135"/>
      <c r="C65" s="173" t="s">
        <v>191</v>
      </c>
      <c r="D65" s="137"/>
      <c r="E65" s="120"/>
      <c r="F65" s="199">
        <f>F61+I61</f>
        <v>603.9999999999999</v>
      </c>
      <c r="G65" s="200" t="s">
        <v>112</v>
      </c>
      <c r="H65" s="181" t="s">
        <v>192</v>
      </c>
      <c r="I65" s="182"/>
    </row>
    <row r="66" spans="1:9" ht="13.5">
      <c r="A66" s="134"/>
      <c r="B66" s="135"/>
      <c r="C66" s="136"/>
      <c r="D66" s="137"/>
      <c r="E66" s="120"/>
      <c r="F66" s="166"/>
      <c r="G66" s="170"/>
      <c r="H66" s="181" t="s">
        <v>114</v>
      </c>
      <c r="I66" s="169"/>
    </row>
    <row r="67" spans="1:9" ht="13.5">
      <c r="A67" s="134"/>
      <c r="B67" s="135"/>
      <c r="C67" s="136"/>
      <c r="D67" s="137"/>
      <c r="E67" s="120"/>
      <c r="F67" s="134"/>
      <c r="G67" s="135"/>
      <c r="H67" s="136"/>
      <c r="I67" s="137"/>
    </row>
    <row r="68" spans="1:9" ht="13.5">
      <c r="A68" s="134"/>
      <c r="B68" s="135"/>
      <c r="C68" s="136"/>
      <c r="D68" s="137"/>
      <c r="E68" s="120"/>
      <c r="F68" s="134"/>
      <c r="G68" s="135"/>
      <c r="H68" s="201" t="s">
        <v>193</v>
      </c>
      <c r="I68" s="137"/>
    </row>
    <row r="69" spans="1:9" ht="13.5">
      <c r="A69" s="134"/>
      <c r="B69" s="135"/>
      <c r="C69" s="136"/>
      <c r="D69" s="137"/>
      <c r="E69" s="120"/>
      <c r="F69" s="134"/>
      <c r="G69" s="135"/>
      <c r="H69" s="136"/>
      <c r="I69" s="137"/>
    </row>
    <row r="70" spans="1:9" ht="13.5">
      <c r="A70" s="134"/>
      <c r="B70" s="135"/>
      <c r="C70" s="136"/>
      <c r="D70" s="137"/>
      <c r="E70" s="120"/>
      <c r="F70" s="134"/>
      <c r="G70" s="135"/>
      <c r="H70" s="136"/>
      <c r="I70" s="137"/>
    </row>
    <row r="71" spans="1:9" ht="13.5">
      <c r="A71" s="184"/>
      <c r="B71" s="185"/>
      <c r="C71" s="188"/>
      <c r="D71" s="187"/>
      <c r="E71" s="120"/>
      <c r="F71" s="184"/>
      <c r="G71" s="185"/>
      <c r="H71" s="188"/>
      <c r="I71" s="187"/>
    </row>
    <row r="72" spans="1:9" ht="12.75">
      <c r="A72" s="202"/>
      <c r="B72" s="203"/>
      <c r="C72" s="204"/>
      <c r="D72" s="202"/>
      <c r="F72" s="202"/>
      <c r="G72" s="203"/>
      <c r="H72" s="204"/>
      <c r="I72" s="202"/>
    </row>
    <row r="73" spans="1:12" ht="12.75">
      <c r="A73"/>
      <c r="B73"/>
      <c r="C73"/>
      <c r="D73"/>
      <c r="F73"/>
      <c r="G73"/>
      <c r="H73"/>
      <c r="I73"/>
      <c r="L73"/>
    </row>
    <row r="74" spans="1:12" ht="12.75">
      <c r="A74"/>
      <c r="B74"/>
      <c r="C74"/>
      <c r="D74"/>
      <c r="F74"/>
      <c r="G74"/>
      <c r="H74"/>
      <c r="I74"/>
      <c r="L74"/>
    </row>
    <row r="75" spans="1:12" ht="12.75">
      <c r="A75"/>
      <c r="B75"/>
      <c r="C75"/>
      <c r="D75"/>
      <c r="F75"/>
      <c r="G75"/>
      <c r="H75"/>
      <c r="I75"/>
      <c r="L75"/>
    </row>
    <row r="76" spans="1:12" ht="12.75">
      <c r="A76"/>
      <c r="B76"/>
      <c r="C76"/>
      <c r="D76"/>
      <c r="F76"/>
      <c r="G76"/>
      <c r="H76"/>
      <c r="I76"/>
      <c r="L76"/>
    </row>
    <row r="77" spans="1:12" ht="12.75">
      <c r="A77"/>
      <c r="B77"/>
      <c r="C77"/>
      <c r="D77"/>
      <c r="F77"/>
      <c r="G77"/>
      <c r="H77"/>
      <c r="I77"/>
      <c r="L77"/>
    </row>
    <row r="78" spans="1:12" ht="12.75">
      <c r="A78"/>
      <c r="B78"/>
      <c r="C78"/>
      <c r="D78"/>
      <c r="F78"/>
      <c r="G78"/>
      <c r="H78"/>
      <c r="I78"/>
      <c r="L78"/>
    </row>
    <row r="79" spans="1:12" ht="12.75">
      <c r="A79"/>
      <c r="B79"/>
      <c r="C79"/>
      <c r="D79"/>
      <c r="F79"/>
      <c r="G79"/>
      <c r="H79"/>
      <c r="I79"/>
      <c r="L79"/>
    </row>
    <row r="80" spans="1:12" ht="12.75">
      <c r="A80"/>
      <c r="B80"/>
      <c r="C80"/>
      <c r="D80"/>
      <c r="F80"/>
      <c r="G80"/>
      <c r="H80"/>
      <c r="I80"/>
      <c r="L80"/>
    </row>
    <row r="81" spans="1:12" ht="12.75">
      <c r="A81"/>
      <c r="B81"/>
      <c r="C81"/>
      <c r="D81"/>
      <c r="F81"/>
      <c r="G81"/>
      <c r="H81"/>
      <c r="I81"/>
      <c r="L81"/>
    </row>
    <row r="82" spans="1:12" ht="12.75">
      <c r="A82"/>
      <c r="B82"/>
      <c r="C82"/>
      <c r="D82"/>
      <c r="F82"/>
      <c r="G82"/>
      <c r="H82"/>
      <c r="I82"/>
      <c r="L82"/>
    </row>
    <row r="83" spans="1:12" ht="12.75">
      <c r="A83"/>
      <c r="B83"/>
      <c r="C83"/>
      <c r="D83"/>
      <c r="F83"/>
      <c r="G83"/>
      <c r="H83"/>
      <c r="I83"/>
      <c r="L83"/>
    </row>
    <row r="84" spans="1:12" ht="12.75">
      <c r="A84"/>
      <c r="B84"/>
      <c r="C84"/>
      <c r="D84"/>
      <c r="F84"/>
      <c r="G84"/>
      <c r="H84"/>
      <c r="I84"/>
      <c r="L84"/>
    </row>
    <row r="85" spans="1:12" ht="12.75">
      <c r="A85"/>
      <c r="B85"/>
      <c r="C85"/>
      <c r="D85"/>
      <c r="F85"/>
      <c r="G85"/>
      <c r="H85"/>
      <c r="I85"/>
      <c r="L85"/>
    </row>
    <row r="86" spans="1:12" ht="12.75">
      <c r="A86"/>
      <c r="B86"/>
      <c r="C86"/>
      <c r="D86"/>
      <c r="F86"/>
      <c r="G86"/>
      <c r="H86"/>
      <c r="I86"/>
      <c r="L86"/>
    </row>
    <row r="87" spans="1:12" ht="12.75">
      <c r="A87"/>
      <c r="B87"/>
      <c r="C87"/>
      <c r="D87"/>
      <c r="F87"/>
      <c r="G87"/>
      <c r="H87"/>
      <c r="I87"/>
      <c r="L87"/>
    </row>
    <row r="88" spans="1:12" ht="12.75">
      <c r="A88"/>
      <c r="B88"/>
      <c r="C88"/>
      <c r="D88"/>
      <c r="F88"/>
      <c r="G88"/>
      <c r="H88"/>
      <c r="I88"/>
      <c r="L88"/>
    </row>
    <row r="89" spans="1:12" ht="12.75">
      <c r="A89"/>
      <c r="B89"/>
      <c r="C89"/>
      <c r="D89"/>
      <c r="F89"/>
      <c r="G89"/>
      <c r="H89"/>
      <c r="I89"/>
      <c r="L89"/>
    </row>
    <row r="90" spans="1:12" ht="12.75">
      <c r="A90"/>
      <c r="B90"/>
      <c r="C90"/>
      <c r="D90"/>
      <c r="F90"/>
      <c r="G90"/>
      <c r="H90"/>
      <c r="I90"/>
      <c r="L90"/>
    </row>
    <row r="91" spans="1:12" ht="12.75">
      <c r="A91"/>
      <c r="B91"/>
      <c r="C91"/>
      <c r="D91"/>
      <c r="F91"/>
      <c r="G91"/>
      <c r="H91"/>
      <c r="I91"/>
      <c r="L91"/>
    </row>
    <row r="92" spans="1:12" ht="12.75">
      <c r="A92"/>
      <c r="B92"/>
      <c r="C92"/>
      <c r="D92"/>
      <c r="F92"/>
      <c r="G92"/>
      <c r="H92"/>
      <c r="I92"/>
      <c r="L92"/>
    </row>
    <row r="93" spans="1:12" ht="12.75">
      <c r="A93"/>
      <c r="B93"/>
      <c r="C93"/>
      <c r="D93"/>
      <c r="F93"/>
      <c r="G93"/>
      <c r="H93"/>
      <c r="I93"/>
      <c r="L93"/>
    </row>
    <row r="94" spans="1:12" ht="12.75">
      <c r="A94"/>
      <c r="B94"/>
      <c r="C94"/>
      <c r="D94"/>
      <c r="F94"/>
      <c r="G94"/>
      <c r="H94"/>
      <c r="I94"/>
      <c r="L94"/>
    </row>
    <row r="95" spans="1:12" ht="12.75">
      <c r="A95"/>
      <c r="B95"/>
      <c r="C95"/>
      <c r="D95"/>
      <c r="F95"/>
      <c r="G95"/>
      <c r="H95"/>
      <c r="I95"/>
      <c r="L95"/>
    </row>
    <row r="96" spans="1:12" ht="12.75">
      <c r="A96"/>
      <c r="B96"/>
      <c r="C96"/>
      <c r="D96"/>
      <c r="F96"/>
      <c r="G96"/>
      <c r="H96"/>
      <c r="I96"/>
      <c r="L96"/>
    </row>
  </sheetData>
  <sheetProtection selectLockedCells="1" selectUnlockedCells="1"/>
  <printOptions horizontalCentered="1"/>
  <pageMargins left="0.55" right="0.55" top="0.670138888888889" bottom="0.6701388888888888" header="0.24027777777777778" footer="0.2798611111111111"/>
  <pageSetup horizontalDpi="300" verticalDpi="300" orientation="portrait" scale="93"/>
  <headerFooter alignWithMargins="0">
    <oddHeader>&amp;L&amp;8&amp;A&amp;C&amp;"Arial,Bold"Island 600 km BREVET
"Pacific Rim" (Sea to Shore) &amp;R&amp;8Page &amp;P of &amp;N</oddHeader>
    <oddFooter>&amp;L&amp;8L = Left
SO = Straight on
R = Right&amp;CBC Randonneurs Cycling Club
&amp;8Affiliated with &amp;"Arial,Italic"Cycling BC
&amp;"Arial,Regular"Founding member of&amp;"Arial,Italic" Les Randonneurs Mondiaux&amp;ROrganizer message: (250) 388-5365
Cel: (250) 361-7622</oddFooter>
  </headerFooter>
  <rowBreaks count="1" manualBreakCount="1">
    <brk id="47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M115" sqref="M115"/>
    </sheetView>
  </sheetViews>
  <sheetFormatPr defaultColWidth="8.00390625" defaultRowHeight="12.75"/>
  <cols>
    <col min="1" max="1" width="5.8515625" style="0" customWidth="1"/>
    <col min="2" max="2" width="3.57421875" style="0" customWidth="1"/>
    <col min="3" max="3" width="32.57421875" style="0" customWidth="1"/>
    <col min="4" max="4" width="6.140625" style="0" customWidth="1"/>
    <col min="5" max="5" width="16.8515625" style="1" customWidth="1"/>
    <col min="6" max="16384" width="7.7109375" style="0" customWidth="1"/>
  </cols>
  <sheetData>
    <row r="1" spans="1:4" ht="60.75">
      <c r="A1" s="205" t="s">
        <v>107</v>
      </c>
      <c r="B1" s="206" t="s">
        <v>108</v>
      </c>
      <c r="C1" s="207" t="s">
        <v>109</v>
      </c>
      <c r="D1" s="208" t="s">
        <v>110</v>
      </c>
    </row>
    <row r="2" spans="1:5" ht="15">
      <c r="A2" s="121"/>
      <c r="B2" s="122"/>
      <c r="C2" s="123" t="s">
        <v>111</v>
      </c>
      <c r="D2" s="124"/>
      <c r="E2" s="1" t="s">
        <v>194</v>
      </c>
    </row>
    <row r="3" spans="1:5" ht="15">
      <c r="A3" s="127"/>
      <c r="B3" s="128"/>
      <c r="C3" s="129" t="s">
        <v>114</v>
      </c>
      <c r="D3" s="130"/>
      <c r="E3" s="1" t="s">
        <v>195</v>
      </c>
    </row>
    <row r="4" spans="1:5" ht="15">
      <c r="A4" s="127"/>
      <c r="B4" s="128"/>
      <c r="C4" s="132"/>
      <c r="D4" s="130"/>
      <c r="E4" s="1" t="s">
        <v>196</v>
      </c>
    </row>
    <row r="5" spans="1:5" ht="15">
      <c r="A5" s="127">
        <v>0</v>
      </c>
      <c r="B5" s="128" t="s">
        <v>115</v>
      </c>
      <c r="C5" s="133" t="s">
        <v>119</v>
      </c>
      <c r="D5" s="130">
        <v>0.1</v>
      </c>
      <c r="E5" s="1" t="s">
        <v>197</v>
      </c>
    </row>
    <row r="6" spans="1:5" ht="15">
      <c r="A6" s="127">
        <f aca="true" t="shared" si="0" ref="A6:A14">A5+D5</f>
        <v>0.1</v>
      </c>
      <c r="B6" s="128" t="s">
        <v>115</v>
      </c>
      <c r="C6" s="133" t="s">
        <v>121</v>
      </c>
      <c r="D6" s="130">
        <v>0.5</v>
      </c>
      <c r="E6" s="1" t="s">
        <v>198</v>
      </c>
    </row>
    <row r="7" spans="1:5" ht="15">
      <c r="A7" s="127">
        <f t="shared" si="0"/>
        <v>0.6</v>
      </c>
      <c r="B7" s="128" t="s">
        <v>115</v>
      </c>
      <c r="C7" s="133" t="s">
        <v>123</v>
      </c>
      <c r="D7" s="130">
        <v>0.3</v>
      </c>
      <c r="E7"/>
    </row>
    <row r="8" spans="1:5" ht="13.5">
      <c r="A8" s="134">
        <f t="shared" si="0"/>
        <v>0.8999999999999999</v>
      </c>
      <c r="B8" s="135" t="s">
        <v>112</v>
      </c>
      <c r="C8" s="136" t="s">
        <v>124</v>
      </c>
      <c r="D8" s="137">
        <v>5.6</v>
      </c>
      <c r="E8" s="1" t="s">
        <v>199</v>
      </c>
    </row>
    <row r="9" spans="1:5" ht="13.5">
      <c r="A9" s="134">
        <f t="shared" si="0"/>
        <v>6.5</v>
      </c>
      <c r="B9" s="135" t="s">
        <v>117</v>
      </c>
      <c r="C9" s="136" t="s">
        <v>126</v>
      </c>
      <c r="D9" s="137">
        <v>1.4</v>
      </c>
      <c r="E9" s="1" t="s">
        <v>200</v>
      </c>
    </row>
    <row r="10" spans="1:5" ht="13.5">
      <c r="A10" s="134">
        <f t="shared" si="0"/>
        <v>7.9</v>
      </c>
      <c r="B10" s="135" t="s">
        <v>115</v>
      </c>
      <c r="C10" s="136" t="s">
        <v>128</v>
      </c>
      <c r="D10" s="137">
        <v>5.4</v>
      </c>
      <c r="E10" s="1" t="s">
        <v>201</v>
      </c>
    </row>
    <row r="11" spans="1:5" ht="13.5">
      <c r="A11" s="134">
        <f t="shared" si="0"/>
        <v>13.3</v>
      </c>
      <c r="B11" s="135" t="s">
        <v>129</v>
      </c>
      <c r="C11" s="136" t="s">
        <v>130</v>
      </c>
      <c r="D11" s="137">
        <v>21.8</v>
      </c>
      <c r="E11" s="1" t="s">
        <v>202</v>
      </c>
    </row>
    <row r="12" spans="1:5" ht="15">
      <c r="A12" s="127">
        <f t="shared" si="0"/>
        <v>35.1</v>
      </c>
      <c r="B12" s="128" t="s">
        <v>115</v>
      </c>
      <c r="C12" s="131" t="s">
        <v>203</v>
      </c>
      <c r="D12" s="130">
        <v>0.5</v>
      </c>
      <c r="E12" s="1" t="s">
        <v>204</v>
      </c>
    </row>
    <row r="13" spans="1:5" ht="15">
      <c r="A13" s="127">
        <f t="shared" si="0"/>
        <v>35.6</v>
      </c>
      <c r="B13" s="128" t="s">
        <v>112</v>
      </c>
      <c r="C13" s="131" t="s">
        <v>134</v>
      </c>
      <c r="D13" s="130">
        <v>9.6</v>
      </c>
      <c r="E13" s="1" t="s">
        <v>205</v>
      </c>
    </row>
    <row r="14" spans="1:5" ht="15">
      <c r="A14" s="127">
        <f t="shared" si="0"/>
        <v>45.2</v>
      </c>
      <c r="B14" s="128" t="s">
        <v>112</v>
      </c>
      <c r="C14" s="131" t="s">
        <v>136</v>
      </c>
      <c r="D14" s="130">
        <v>35.2</v>
      </c>
      <c r="E14" s="1" t="s">
        <v>206</v>
      </c>
    </row>
    <row r="15" spans="1:5" ht="15">
      <c r="A15" s="127"/>
      <c r="B15" s="128"/>
      <c r="C15" s="131"/>
      <c r="D15" s="130"/>
      <c r="E15" s="1" t="s">
        <v>207</v>
      </c>
    </row>
    <row r="16" spans="1:4" ht="15">
      <c r="A16" s="138">
        <f>A14+D14</f>
        <v>80.4</v>
      </c>
      <c r="B16" s="139" t="s">
        <v>112</v>
      </c>
      <c r="C16" s="139" t="s">
        <v>138</v>
      </c>
      <c r="D16" s="140"/>
    </row>
    <row r="17" spans="1:4" ht="15">
      <c r="A17" s="127"/>
      <c r="B17" s="139"/>
      <c r="C17" s="139" t="s">
        <v>140</v>
      </c>
      <c r="D17" s="140"/>
    </row>
    <row r="18" spans="1:4" ht="15">
      <c r="A18" s="127"/>
      <c r="B18" s="139"/>
      <c r="C18" s="141"/>
      <c r="D18" s="140"/>
    </row>
    <row r="19" spans="1:4" ht="15">
      <c r="A19" s="127"/>
      <c r="B19" s="139"/>
      <c r="C19" s="141" t="s">
        <v>142</v>
      </c>
      <c r="D19" s="140"/>
    </row>
    <row r="20" spans="1:5" ht="12.75">
      <c r="A20" s="144"/>
      <c r="B20" s="145"/>
      <c r="C20" s="146"/>
      <c r="D20" s="147"/>
      <c r="E20" s="1" t="s">
        <v>208</v>
      </c>
    </row>
    <row r="21" spans="1:4" ht="15">
      <c r="A21" s="127"/>
      <c r="B21" s="128"/>
      <c r="C21" s="131"/>
      <c r="D21" s="130"/>
    </row>
    <row r="22" spans="1:5" ht="15">
      <c r="A22" s="127"/>
      <c r="B22" s="128"/>
      <c r="C22" s="131"/>
      <c r="D22" s="130"/>
      <c r="E22"/>
    </row>
    <row r="23" spans="1:4" ht="15">
      <c r="A23" s="148"/>
      <c r="B23" s="149"/>
      <c r="C23" s="150"/>
      <c r="D23" s="151"/>
    </row>
    <row r="24" spans="1:4" ht="60.75">
      <c r="A24" s="205" t="s">
        <v>107</v>
      </c>
      <c r="B24" s="206" t="s">
        <v>108</v>
      </c>
      <c r="C24" s="207" t="s">
        <v>109</v>
      </c>
      <c r="D24" s="208" t="s">
        <v>110</v>
      </c>
    </row>
    <row r="25" spans="1:5" ht="15">
      <c r="A25" s="121">
        <f>A16</f>
        <v>80.4</v>
      </c>
      <c r="B25" s="122" t="s">
        <v>112</v>
      </c>
      <c r="C25" s="126" t="s">
        <v>113</v>
      </c>
      <c r="D25" s="124">
        <v>0.2</v>
      </c>
      <c r="E25" s="1" t="s">
        <v>208</v>
      </c>
    </row>
    <row r="26" spans="1:4" ht="15">
      <c r="A26" s="127">
        <f>A25+D25</f>
        <v>80.60000000000001</v>
      </c>
      <c r="B26" s="128" t="s">
        <v>115</v>
      </c>
      <c r="C26" s="131" t="s">
        <v>116</v>
      </c>
      <c r="D26" s="130">
        <v>2.7</v>
      </c>
    </row>
    <row r="27" spans="1:4" ht="15">
      <c r="A27" s="127">
        <f>A26+D26</f>
        <v>83.30000000000001</v>
      </c>
      <c r="B27" s="128" t="s">
        <v>117</v>
      </c>
      <c r="C27" s="131" t="s">
        <v>118</v>
      </c>
      <c r="D27" s="130">
        <v>88.2</v>
      </c>
    </row>
    <row r="28" spans="1:4" ht="15">
      <c r="A28" s="127">
        <f>A27+D27</f>
        <v>171.5</v>
      </c>
      <c r="B28" s="128" t="s">
        <v>115</v>
      </c>
      <c r="C28" s="131" t="s">
        <v>120</v>
      </c>
      <c r="D28" s="130">
        <v>29.7</v>
      </c>
    </row>
    <row r="29" spans="1:4" ht="15">
      <c r="A29" s="127">
        <f>A28+D28</f>
        <v>201.2</v>
      </c>
      <c r="B29" s="128" t="s">
        <v>117</v>
      </c>
      <c r="C29" s="131" t="s">
        <v>122</v>
      </c>
      <c r="D29" s="130">
        <v>2.7</v>
      </c>
    </row>
    <row r="30" spans="1:4" ht="15">
      <c r="A30" s="127"/>
      <c r="B30" s="128"/>
      <c r="C30" s="131"/>
      <c r="D30" s="130"/>
    </row>
    <row r="31" spans="1:4" ht="15">
      <c r="A31" s="138">
        <f>A29+D29</f>
        <v>203.89999999999998</v>
      </c>
      <c r="B31" s="128"/>
      <c r="C31" s="139" t="s">
        <v>125</v>
      </c>
      <c r="D31" s="130"/>
    </row>
    <row r="32" spans="1:4" ht="15">
      <c r="A32" s="127"/>
      <c r="B32" s="128"/>
      <c r="C32" s="139" t="s">
        <v>127</v>
      </c>
      <c r="D32" s="130"/>
    </row>
    <row r="33" spans="1:4" ht="15">
      <c r="A33" s="127"/>
      <c r="B33" s="128"/>
      <c r="C33" s="128"/>
      <c r="D33" s="130"/>
    </row>
    <row r="34" spans="1:4" ht="15">
      <c r="A34" s="127"/>
      <c r="B34" s="128"/>
      <c r="C34" s="131"/>
      <c r="D34" s="130"/>
    </row>
    <row r="35" spans="1:4" ht="15">
      <c r="A35" s="127"/>
      <c r="B35" s="128" t="s">
        <v>132</v>
      </c>
      <c r="C35" s="131" t="s">
        <v>133</v>
      </c>
      <c r="D35" s="130">
        <v>2.7</v>
      </c>
    </row>
    <row r="36" spans="1:4" ht="15">
      <c r="A36" s="127">
        <f>A31+D35</f>
        <v>206.59999999999997</v>
      </c>
      <c r="B36" s="128" t="s">
        <v>117</v>
      </c>
      <c r="C36" s="131" t="s">
        <v>135</v>
      </c>
      <c r="D36" s="130">
        <v>29.7</v>
      </c>
    </row>
    <row r="37" spans="1:4" ht="15">
      <c r="A37" s="127">
        <f>A36+D36</f>
        <v>236.29999999999995</v>
      </c>
      <c r="B37" s="128" t="s">
        <v>112</v>
      </c>
      <c r="C37" s="131" t="s">
        <v>137</v>
      </c>
      <c r="D37" s="130">
        <v>88.2</v>
      </c>
    </row>
    <row r="38" spans="1:5" ht="15">
      <c r="A38" s="127">
        <f>A37+D37</f>
        <v>324.49999999999994</v>
      </c>
      <c r="B38" s="128" t="s">
        <v>117</v>
      </c>
      <c r="C38" s="131" t="s">
        <v>116</v>
      </c>
      <c r="D38" s="130">
        <v>2.7</v>
      </c>
      <c r="E38" s="1" t="s">
        <v>208</v>
      </c>
    </row>
    <row r="39" spans="1:4" ht="15">
      <c r="A39" s="127">
        <f>A38+D38</f>
        <v>327.19999999999993</v>
      </c>
      <c r="B39" s="128" t="s">
        <v>112</v>
      </c>
      <c r="C39" s="131" t="s">
        <v>139</v>
      </c>
      <c r="D39" s="130">
        <v>0.2</v>
      </c>
    </row>
    <row r="40" spans="1:4" ht="15">
      <c r="A40" s="127"/>
      <c r="B40" s="128"/>
      <c r="C40" s="131"/>
      <c r="D40" s="130"/>
    </row>
    <row r="41" spans="1:5" ht="15">
      <c r="A41" s="142">
        <f>A39+D39</f>
        <v>327.3999999999999</v>
      </c>
      <c r="B41" s="143" t="s">
        <v>115</v>
      </c>
      <c r="C41" s="139" t="s">
        <v>141</v>
      </c>
      <c r="D41" s="140"/>
      <c r="E41"/>
    </row>
    <row r="42" spans="1:4" ht="15">
      <c r="A42" s="138"/>
      <c r="B42" s="139"/>
      <c r="C42" s="139" t="s">
        <v>140</v>
      </c>
      <c r="D42" s="140"/>
    </row>
    <row r="43" spans="1:4" ht="12.75">
      <c r="A43" s="144"/>
      <c r="B43" s="145"/>
      <c r="C43" s="146"/>
      <c r="D43" s="147"/>
    </row>
    <row r="44" spans="1:4" ht="12.75">
      <c r="A44" s="144"/>
      <c r="B44" s="145"/>
      <c r="C44" s="146"/>
      <c r="D44" s="147"/>
    </row>
    <row r="45" spans="1:5" ht="12.75">
      <c r="A45" s="144"/>
      <c r="B45" s="145"/>
      <c r="C45" s="146"/>
      <c r="D45" s="147"/>
      <c r="E45" s="1" t="s">
        <v>208</v>
      </c>
    </row>
    <row r="46" spans="1:4" ht="15">
      <c r="A46" s="148"/>
      <c r="B46" s="149"/>
      <c r="C46" s="150"/>
      <c r="D46" s="151"/>
    </row>
    <row r="47" spans="1:4" ht="60.75">
      <c r="A47" s="205" t="s">
        <v>107</v>
      </c>
      <c r="B47" s="206" t="s">
        <v>108</v>
      </c>
      <c r="C47" s="207" t="s">
        <v>109</v>
      </c>
      <c r="D47" s="208" t="s">
        <v>110</v>
      </c>
    </row>
    <row r="48" spans="1:4" ht="13.5">
      <c r="A48" s="155">
        <f>A41</f>
        <v>327.3999999999999</v>
      </c>
      <c r="B48" s="156" t="s">
        <v>115</v>
      </c>
      <c r="C48" s="157" t="s">
        <v>139</v>
      </c>
      <c r="D48" s="158">
        <v>35.2</v>
      </c>
    </row>
    <row r="49" spans="1:5" ht="13.5">
      <c r="A49" s="134">
        <f>A48+D48</f>
        <v>362.5999999999999</v>
      </c>
      <c r="B49" s="135" t="s">
        <v>115</v>
      </c>
      <c r="C49" s="136" t="s">
        <v>143</v>
      </c>
      <c r="D49" s="137">
        <v>9.4</v>
      </c>
      <c r="E49"/>
    </row>
    <row r="50" spans="1:4" ht="13.5">
      <c r="A50" s="134">
        <f>A49+D49</f>
        <v>371.9999999999999</v>
      </c>
      <c r="B50" s="135" t="s">
        <v>117</v>
      </c>
      <c r="C50" s="136" t="s">
        <v>145</v>
      </c>
      <c r="D50" s="137">
        <v>3.4</v>
      </c>
    </row>
    <row r="51" spans="1:4" ht="13.5">
      <c r="A51" s="134"/>
      <c r="B51" s="135"/>
      <c r="C51" s="136"/>
      <c r="D51" s="137"/>
    </row>
    <row r="52" spans="1:4" ht="13.5">
      <c r="A52" s="171">
        <f>A50+D50</f>
        <v>375.39999999999986</v>
      </c>
      <c r="B52" s="172" t="s">
        <v>115</v>
      </c>
      <c r="C52" s="173" t="s">
        <v>148</v>
      </c>
      <c r="D52" s="174"/>
    </row>
    <row r="53" spans="1:4" ht="13.5">
      <c r="A53" s="175"/>
      <c r="B53" s="173"/>
      <c r="C53" s="173" t="s">
        <v>150</v>
      </c>
      <c r="D53" s="174"/>
    </row>
    <row r="54" spans="1:5" ht="13.5">
      <c r="A54" s="171"/>
      <c r="B54" s="172"/>
      <c r="C54" s="173"/>
      <c r="D54" s="174"/>
      <c r="E54" s="1" t="s">
        <v>208</v>
      </c>
    </row>
    <row r="55" spans="1:4" ht="13.5">
      <c r="A55" s="134"/>
      <c r="B55" s="135" t="s">
        <v>115</v>
      </c>
      <c r="C55" s="136" t="s">
        <v>153</v>
      </c>
      <c r="D55" s="137">
        <v>5.3</v>
      </c>
    </row>
    <row r="56" spans="1:4" ht="13.5">
      <c r="A56" s="166">
        <f>A52+D55</f>
        <v>380.6999999999999</v>
      </c>
      <c r="B56" s="170" t="s">
        <v>115</v>
      </c>
      <c r="C56" s="176" t="s">
        <v>155</v>
      </c>
      <c r="D56" s="169">
        <v>17</v>
      </c>
    </row>
    <row r="57" spans="1:4" ht="13.5">
      <c r="A57" s="166">
        <f>A56+D56</f>
        <v>397.6999999999999</v>
      </c>
      <c r="B57" s="170" t="s">
        <v>115</v>
      </c>
      <c r="C57" s="176" t="s">
        <v>157</v>
      </c>
      <c r="D57" s="169">
        <v>0.6</v>
      </c>
    </row>
    <row r="58" spans="1:4" ht="13.5">
      <c r="A58" s="166">
        <f>A57+D57</f>
        <v>398.2999999999999</v>
      </c>
      <c r="B58" s="170" t="s">
        <v>117</v>
      </c>
      <c r="C58" s="176" t="s">
        <v>159</v>
      </c>
      <c r="D58" s="169">
        <v>6.4</v>
      </c>
    </row>
    <row r="59" spans="1:4" ht="13.5">
      <c r="A59" s="166">
        <f>A58+D58</f>
        <v>404.6999999999999</v>
      </c>
      <c r="B59" s="170" t="s">
        <v>115</v>
      </c>
      <c r="C59" s="136" t="s">
        <v>161</v>
      </c>
      <c r="D59" s="169">
        <v>5.3</v>
      </c>
    </row>
    <row r="60" spans="1:4" ht="13.5">
      <c r="A60" s="134">
        <f>A59+D59</f>
        <v>409.9999999999999</v>
      </c>
      <c r="B60" s="170" t="s">
        <v>117</v>
      </c>
      <c r="C60" s="177" t="s">
        <v>163</v>
      </c>
      <c r="D60" s="169">
        <v>0.5</v>
      </c>
    </row>
    <row r="61" spans="1:4" ht="12.75">
      <c r="A61" s="178"/>
      <c r="B61" s="179"/>
      <c r="C61" s="179"/>
      <c r="D61" s="180"/>
    </row>
    <row r="62" spans="1:4" ht="12.75">
      <c r="A62" s="178"/>
      <c r="B62" s="179"/>
      <c r="C62" s="179"/>
      <c r="D62" s="180"/>
    </row>
    <row r="63" spans="1:5" ht="13.5">
      <c r="A63" s="175">
        <f>A60+D60</f>
        <v>410.4999999999999</v>
      </c>
      <c r="B63" s="181" t="s">
        <v>115</v>
      </c>
      <c r="C63" s="181" t="s">
        <v>166</v>
      </c>
      <c r="D63" s="182"/>
      <c r="E63"/>
    </row>
    <row r="64" spans="1:4" ht="13.5">
      <c r="A64" s="134"/>
      <c r="B64" s="170"/>
      <c r="C64" s="181" t="s">
        <v>114</v>
      </c>
      <c r="D64" s="169"/>
    </row>
    <row r="65" spans="1:4" ht="13.5">
      <c r="A65" s="134"/>
      <c r="B65" s="135"/>
      <c r="C65" s="136"/>
      <c r="D65" s="137"/>
    </row>
    <row r="66" spans="1:4" ht="13.5">
      <c r="A66" s="134"/>
      <c r="B66" s="135"/>
      <c r="C66" s="136"/>
      <c r="D66" s="137"/>
    </row>
    <row r="67" spans="1:4" ht="13.5">
      <c r="A67" s="134"/>
      <c r="B67" s="135"/>
      <c r="C67" s="136"/>
      <c r="D67" s="137"/>
    </row>
    <row r="68" spans="1:4" ht="13.5">
      <c r="A68" s="134"/>
      <c r="B68" s="135"/>
      <c r="C68" s="173"/>
      <c r="D68" s="137"/>
    </row>
    <row r="69" spans="1:4" ht="13.5">
      <c r="A69" s="184"/>
      <c r="B69" s="185"/>
      <c r="C69" s="186"/>
      <c r="D69" s="187"/>
    </row>
    <row r="70" spans="1:4" ht="60.75">
      <c r="A70" s="205" t="s">
        <v>107</v>
      </c>
      <c r="B70" s="206" t="s">
        <v>108</v>
      </c>
      <c r="C70" s="207" t="s">
        <v>109</v>
      </c>
      <c r="D70" s="208" t="s">
        <v>110</v>
      </c>
    </row>
    <row r="71" spans="1:5" ht="13.5">
      <c r="A71" s="159">
        <f>A63</f>
        <v>410.4999999999999</v>
      </c>
      <c r="B71" s="160" t="s">
        <v>112</v>
      </c>
      <c r="C71" s="160" t="s">
        <v>119</v>
      </c>
      <c r="D71" s="161">
        <v>0.1</v>
      </c>
      <c r="E71" s="1" t="s">
        <v>208</v>
      </c>
    </row>
    <row r="72" spans="1:4" ht="13.5">
      <c r="A72" s="163">
        <f>A71+D71</f>
        <v>410.5999999999999</v>
      </c>
      <c r="B72" s="164" t="s">
        <v>115</v>
      </c>
      <c r="C72" s="164" t="s">
        <v>144</v>
      </c>
      <c r="D72" s="165">
        <v>0.1</v>
      </c>
    </row>
    <row r="73" spans="1:4" ht="13.5">
      <c r="A73" s="166">
        <f>A72+D72</f>
        <v>410.69999999999993</v>
      </c>
      <c r="B73" s="167" t="s">
        <v>115</v>
      </c>
      <c r="C73" s="168" t="s">
        <v>146</v>
      </c>
      <c r="D73" s="169">
        <v>0.7</v>
      </c>
    </row>
    <row r="74" spans="1:4" ht="13.5">
      <c r="A74" s="166">
        <f>A73+D73</f>
        <v>411.3999999999999</v>
      </c>
      <c r="B74" s="170" t="s">
        <v>117</v>
      </c>
      <c r="C74" s="136" t="s">
        <v>147</v>
      </c>
      <c r="D74" s="169">
        <v>1.6</v>
      </c>
    </row>
    <row r="75" spans="1:4" ht="13.5">
      <c r="A75" s="166">
        <f>A74+D74</f>
        <v>412.99999999999994</v>
      </c>
      <c r="B75" s="167" t="s">
        <v>117</v>
      </c>
      <c r="C75" s="168" t="s">
        <v>149</v>
      </c>
      <c r="D75" s="169">
        <v>3.5</v>
      </c>
    </row>
    <row r="76" spans="1:5" ht="13.5">
      <c r="A76" s="166">
        <f>A75+D75</f>
        <v>416.49999999999994</v>
      </c>
      <c r="B76" s="170" t="s">
        <v>117</v>
      </c>
      <c r="C76" s="176" t="s">
        <v>151</v>
      </c>
      <c r="D76" s="169">
        <v>1.6</v>
      </c>
      <c r="E76" s="1" t="s">
        <v>208</v>
      </c>
    </row>
    <row r="77" spans="1:4" ht="13.5">
      <c r="A77" s="166">
        <f aca="true" t="shared" si="1" ref="A77:A82">A76+D76</f>
        <v>418.09999999999997</v>
      </c>
      <c r="B77" s="170" t="s">
        <v>117</v>
      </c>
      <c r="C77" s="176" t="s">
        <v>152</v>
      </c>
      <c r="D77" s="169">
        <v>17</v>
      </c>
    </row>
    <row r="78" spans="1:4" ht="13.5">
      <c r="A78" s="166">
        <f t="shared" si="1"/>
        <v>435.09999999999997</v>
      </c>
      <c r="B78" s="135" t="s">
        <v>117</v>
      </c>
      <c r="C78" s="136" t="s">
        <v>154</v>
      </c>
      <c r="D78" s="169">
        <v>10.9</v>
      </c>
    </row>
    <row r="79" spans="1:4" ht="13.5">
      <c r="A79" s="166">
        <f t="shared" si="1"/>
        <v>445.99999999999994</v>
      </c>
      <c r="B79" s="135" t="s">
        <v>117</v>
      </c>
      <c r="C79" s="136" t="s">
        <v>156</v>
      </c>
      <c r="D79" s="169">
        <v>11.3</v>
      </c>
    </row>
    <row r="80" spans="1:4" ht="13.5">
      <c r="A80" s="166">
        <f t="shared" si="1"/>
        <v>457.29999999999995</v>
      </c>
      <c r="B80" s="135" t="s">
        <v>115</v>
      </c>
      <c r="C80" s="136" t="s">
        <v>158</v>
      </c>
      <c r="D80" s="137">
        <v>2</v>
      </c>
    </row>
    <row r="81" spans="1:4" ht="13.5">
      <c r="A81" s="166">
        <f t="shared" si="1"/>
        <v>459.29999999999995</v>
      </c>
      <c r="B81" s="135" t="s">
        <v>117</v>
      </c>
      <c r="C81" s="136" t="s">
        <v>160</v>
      </c>
      <c r="D81" s="137">
        <v>22.9</v>
      </c>
    </row>
    <row r="82" spans="1:4" ht="13.5">
      <c r="A82" s="166">
        <f t="shared" si="1"/>
        <v>482.19999999999993</v>
      </c>
      <c r="B82" s="135" t="s">
        <v>117</v>
      </c>
      <c r="C82" s="136" t="s">
        <v>162</v>
      </c>
      <c r="D82" s="137">
        <v>1.7</v>
      </c>
    </row>
    <row r="83" spans="1:5" ht="13.5">
      <c r="A83" s="134"/>
      <c r="B83" s="135"/>
      <c r="C83" s="136"/>
      <c r="D83" s="137"/>
      <c r="E83"/>
    </row>
    <row r="84" spans="1:5" ht="13.5">
      <c r="A84" s="175">
        <f>A82+D82</f>
        <v>483.8999999999999</v>
      </c>
      <c r="B84" s="173" t="s">
        <v>115</v>
      </c>
      <c r="C84" s="173" t="s">
        <v>164</v>
      </c>
      <c r="D84" s="174"/>
      <c r="E84" s="1" t="s">
        <v>208</v>
      </c>
    </row>
    <row r="85" spans="1:4" ht="13.5">
      <c r="A85" s="175"/>
      <c r="B85" s="173"/>
      <c r="C85" s="173" t="s">
        <v>165</v>
      </c>
      <c r="D85" s="174"/>
    </row>
    <row r="86" spans="1:4" ht="12.75">
      <c r="A86" s="178"/>
      <c r="B86" s="179"/>
      <c r="C86" s="179"/>
      <c r="D86" s="180"/>
    </row>
    <row r="87" spans="1:4" ht="13.5">
      <c r="A87" s="134"/>
      <c r="B87" s="135"/>
      <c r="C87" s="173"/>
      <c r="D87" s="137"/>
    </row>
    <row r="88" spans="1:4" ht="13.5">
      <c r="A88" s="134"/>
      <c r="B88" s="135"/>
      <c r="C88" s="173" t="s">
        <v>209</v>
      </c>
      <c r="D88" s="137"/>
    </row>
    <row r="89" spans="1:4" ht="13.5">
      <c r="A89" s="134"/>
      <c r="B89" s="135"/>
      <c r="C89" s="173" t="s">
        <v>167</v>
      </c>
      <c r="D89" s="137"/>
    </row>
    <row r="90" spans="1:4" ht="13.5">
      <c r="A90" s="134"/>
      <c r="B90" s="135"/>
      <c r="C90" s="173"/>
      <c r="D90" s="137"/>
    </row>
    <row r="91" spans="1:4" ht="13.5">
      <c r="A91" s="134"/>
      <c r="B91" s="135"/>
      <c r="C91" s="183"/>
      <c r="D91" s="137"/>
    </row>
    <row r="92" spans="1:4" ht="13.5">
      <c r="A92" s="184"/>
      <c r="B92" s="185"/>
      <c r="C92" s="188"/>
      <c r="D92" s="187"/>
    </row>
    <row r="93" spans="1:4" ht="60.75">
      <c r="A93" s="205" t="s">
        <v>107</v>
      </c>
      <c r="B93" s="206" t="s">
        <v>108</v>
      </c>
      <c r="C93" s="207" t="s">
        <v>109</v>
      </c>
      <c r="D93" s="208" t="s">
        <v>110</v>
      </c>
    </row>
    <row r="94" spans="1:4" ht="13.5">
      <c r="A94" s="155"/>
      <c r="B94" s="156" t="s">
        <v>132</v>
      </c>
      <c r="C94" s="157" t="s">
        <v>170</v>
      </c>
      <c r="D94" s="158">
        <v>0.2</v>
      </c>
    </row>
    <row r="95" spans="1:4" ht="13.5">
      <c r="A95" s="134">
        <f>A84+D94</f>
        <v>484.0999999999999</v>
      </c>
      <c r="B95" s="135" t="s">
        <v>115</v>
      </c>
      <c r="C95" s="136" t="s">
        <v>172</v>
      </c>
      <c r="D95" s="137">
        <v>1.5</v>
      </c>
    </row>
    <row r="96" spans="1:4" ht="13.5">
      <c r="A96" s="134">
        <f>A95+D95</f>
        <v>485.5999999999999</v>
      </c>
      <c r="B96" s="135" t="s">
        <v>115</v>
      </c>
      <c r="C96" s="136" t="s">
        <v>174</v>
      </c>
      <c r="D96" s="137">
        <v>5.9</v>
      </c>
    </row>
    <row r="97" spans="1:4" ht="13.5">
      <c r="A97" s="134">
        <f>A96+D96</f>
        <v>491.4999999999999</v>
      </c>
      <c r="B97" s="135" t="s">
        <v>117</v>
      </c>
      <c r="C97" s="135" t="s">
        <v>176</v>
      </c>
      <c r="D97" s="137"/>
    </row>
    <row r="98" spans="1:5" ht="13.5">
      <c r="A98" s="134">
        <f>A97+D97</f>
        <v>491.4999999999999</v>
      </c>
      <c r="B98" s="135" t="s">
        <v>117</v>
      </c>
      <c r="C98" s="136" t="s">
        <v>174</v>
      </c>
      <c r="D98" s="137">
        <v>22.2</v>
      </c>
      <c r="E98" s="1" t="s">
        <v>208</v>
      </c>
    </row>
    <row r="99" spans="1:4" ht="13.5">
      <c r="A99" s="134">
        <f aca="true" t="shared" si="2" ref="A99:A104">A98+D98</f>
        <v>513.6999999999999</v>
      </c>
      <c r="B99" s="135" t="s">
        <v>115</v>
      </c>
      <c r="C99" s="136" t="s">
        <v>210</v>
      </c>
      <c r="D99" s="137">
        <v>1.7</v>
      </c>
    </row>
    <row r="100" spans="1:4" ht="13.5">
      <c r="A100" s="134">
        <f t="shared" si="2"/>
        <v>515.4</v>
      </c>
      <c r="B100" s="135" t="s">
        <v>117</v>
      </c>
      <c r="C100" s="136" t="s">
        <v>181</v>
      </c>
      <c r="D100" s="137">
        <v>1.7</v>
      </c>
    </row>
    <row r="101" spans="1:4" ht="13.5">
      <c r="A101" s="134">
        <f t="shared" si="2"/>
        <v>517.1</v>
      </c>
      <c r="B101" s="135" t="s">
        <v>112</v>
      </c>
      <c r="C101" s="136" t="s">
        <v>183</v>
      </c>
      <c r="D101" s="137">
        <v>0.1</v>
      </c>
    </row>
    <row r="102" spans="1:4" ht="13.5">
      <c r="A102" s="134">
        <f t="shared" si="2"/>
        <v>517.2</v>
      </c>
      <c r="B102" s="135" t="s">
        <v>115</v>
      </c>
      <c r="C102" s="136" t="s">
        <v>185</v>
      </c>
      <c r="D102" s="137">
        <v>2</v>
      </c>
    </row>
    <row r="103" spans="1:4" ht="13.5">
      <c r="A103" s="134">
        <f t="shared" si="2"/>
        <v>519.2</v>
      </c>
      <c r="B103" s="135" t="s">
        <v>117</v>
      </c>
      <c r="C103" s="136" t="s">
        <v>187</v>
      </c>
      <c r="D103" s="137">
        <v>18.8</v>
      </c>
    </row>
    <row r="104" spans="1:4" ht="13.5">
      <c r="A104" s="134">
        <f t="shared" si="2"/>
        <v>538</v>
      </c>
      <c r="B104" s="135" t="s">
        <v>115</v>
      </c>
      <c r="C104" s="136" t="s">
        <v>189</v>
      </c>
      <c r="D104" s="137">
        <v>0.1</v>
      </c>
    </row>
    <row r="105" spans="1:4" ht="12.75">
      <c r="A105" s="194"/>
      <c r="B105" s="195"/>
      <c r="C105" s="196"/>
      <c r="D105" s="197"/>
    </row>
    <row r="106" spans="1:4" ht="13.5">
      <c r="A106" s="134"/>
      <c r="B106" s="135"/>
      <c r="C106" s="136"/>
      <c r="D106" s="137"/>
    </row>
    <row r="107" spans="1:4" ht="13.5">
      <c r="A107" s="134"/>
      <c r="B107" s="135"/>
      <c r="C107" s="136"/>
      <c r="D107" s="137"/>
    </row>
    <row r="108" spans="1:4" ht="13.5">
      <c r="A108" s="175">
        <f>A104+D104</f>
        <v>538.1</v>
      </c>
      <c r="B108" s="173" t="s">
        <v>115</v>
      </c>
      <c r="C108" s="173" t="s">
        <v>190</v>
      </c>
      <c r="D108" s="137"/>
    </row>
    <row r="109" spans="1:4" ht="13.5">
      <c r="A109" s="134"/>
      <c r="B109" s="135"/>
      <c r="C109" s="173" t="s">
        <v>191</v>
      </c>
      <c r="D109" s="137"/>
    </row>
    <row r="110" spans="1:4" ht="13.5">
      <c r="A110" s="134"/>
      <c r="B110" s="135"/>
      <c r="C110" s="136"/>
      <c r="D110" s="137"/>
    </row>
    <row r="111" spans="1:4" ht="60.75">
      <c r="A111" s="205" t="s">
        <v>107</v>
      </c>
      <c r="B111" s="206" t="s">
        <v>108</v>
      </c>
      <c r="C111" s="207" t="s">
        <v>109</v>
      </c>
      <c r="D111" s="208" t="s">
        <v>110</v>
      </c>
    </row>
    <row r="112" spans="1:4" ht="13.5">
      <c r="A112" s="155">
        <f>A108</f>
        <v>538.1</v>
      </c>
      <c r="B112" s="156" t="s">
        <v>112</v>
      </c>
      <c r="C112" s="157" t="s">
        <v>171</v>
      </c>
      <c r="D112" s="158">
        <v>0.1</v>
      </c>
    </row>
    <row r="113" spans="1:4" ht="13.5">
      <c r="A113" s="134">
        <f>A112+D112</f>
        <v>538.2</v>
      </c>
      <c r="B113" s="135" t="s">
        <v>112</v>
      </c>
      <c r="C113" s="136" t="s">
        <v>185</v>
      </c>
      <c r="D113" s="137">
        <v>18.8</v>
      </c>
    </row>
    <row r="114" spans="1:4" ht="13.5">
      <c r="A114" s="134">
        <f>A113+D113</f>
        <v>557</v>
      </c>
      <c r="B114" s="135" t="s">
        <v>117</v>
      </c>
      <c r="C114" s="136" t="s">
        <v>175</v>
      </c>
      <c r="D114" s="137">
        <v>27.5</v>
      </c>
    </row>
    <row r="115" spans="1:4" ht="13.5">
      <c r="A115" s="134">
        <f aca="true" t="shared" si="3" ref="A115:A120">A114+D114</f>
        <v>584.5</v>
      </c>
      <c r="B115" s="135" t="s">
        <v>117</v>
      </c>
      <c r="C115" s="136" t="s">
        <v>177</v>
      </c>
      <c r="D115" s="137">
        <v>17</v>
      </c>
    </row>
    <row r="116" spans="1:4" ht="13.5">
      <c r="A116" s="166">
        <f t="shared" si="3"/>
        <v>601.5</v>
      </c>
      <c r="B116" s="170" t="s">
        <v>117</v>
      </c>
      <c r="C116" s="176" t="s">
        <v>178</v>
      </c>
      <c r="D116" s="169">
        <v>1.6</v>
      </c>
    </row>
    <row r="117" spans="1:4" ht="13.5">
      <c r="A117" s="166">
        <f t="shared" si="3"/>
        <v>603.1</v>
      </c>
      <c r="B117" s="135" t="s">
        <v>117</v>
      </c>
      <c r="C117" s="136" t="s">
        <v>180</v>
      </c>
      <c r="D117" s="169">
        <v>1.5</v>
      </c>
    </row>
    <row r="118" spans="1:4" ht="13.5">
      <c r="A118" s="166">
        <f t="shared" si="3"/>
        <v>604.6</v>
      </c>
      <c r="B118" s="192" t="s">
        <v>115</v>
      </c>
      <c r="C118" s="164" t="s">
        <v>182</v>
      </c>
      <c r="D118" s="169">
        <v>3.1</v>
      </c>
    </row>
    <row r="119" spans="1:4" ht="13.5">
      <c r="A119" s="166">
        <f t="shared" si="3"/>
        <v>607.7</v>
      </c>
      <c r="B119" s="170" t="s">
        <v>112</v>
      </c>
      <c r="C119" s="176" t="s">
        <v>184</v>
      </c>
      <c r="D119" s="169">
        <v>0.1</v>
      </c>
    </row>
    <row r="120" spans="1:4" ht="13.5">
      <c r="A120" s="166">
        <f t="shared" si="3"/>
        <v>607.8000000000001</v>
      </c>
      <c r="B120" s="135" t="s">
        <v>117</v>
      </c>
      <c r="C120" s="136" t="s">
        <v>186</v>
      </c>
      <c r="D120" s="169">
        <v>0</v>
      </c>
    </row>
    <row r="121" spans="1:4" ht="13.5">
      <c r="A121" s="166">
        <f>A120+D120</f>
        <v>607.8000000000001</v>
      </c>
      <c r="B121" s="170" t="s">
        <v>117</v>
      </c>
      <c r="C121" s="176" t="s">
        <v>188</v>
      </c>
      <c r="D121" s="169">
        <v>1.6</v>
      </c>
    </row>
    <row r="122" spans="1:4" ht="13.5">
      <c r="A122" s="193">
        <f>A121+D121</f>
        <v>609.4000000000001</v>
      </c>
      <c r="B122" s="135" t="s">
        <v>115</v>
      </c>
      <c r="C122" s="136" t="s">
        <v>211</v>
      </c>
      <c r="D122" s="137">
        <v>0.3</v>
      </c>
    </row>
    <row r="123" spans="1:4" ht="13.5">
      <c r="A123" s="193">
        <f>A122+D122</f>
        <v>609.7</v>
      </c>
      <c r="B123" s="135" t="s">
        <v>115</v>
      </c>
      <c r="C123" s="136" t="s">
        <v>119</v>
      </c>
      <c r="D123" s="137">
        <v>0.1</v>
      </c>
    </row>
    <row r="124" spans="1:4" ht="13.5">
      <c r="A124" s="193"/>
      <c r="B124" s="135"/>
      <c r="C124" s="198"/>
      <c r="D124" s="137"/>
    </row>
    <row r="125" spans="1:4" ht="13.5">
      <c r="A125" s="134"/>
      <c r="B125" s="135"/>
      <c r="C125" s="136"/>
      <c r="D125" s="137"/>
    </row>
    <row r="126" spans="1:4" ht="13.5">
      <c r="A126" s="134"/>
      <c r="B126" s="135"/>
      <c r="C126" s="136"/>
      <c r="D126" s="137"/>
    </row>
    <row r="127" spans="1:4" ht="13.5">
      <c r="A127" s="199">
        <f>A123+D123</f>
        <v>609.8000000000001</v>
      </c>
      <c r="B127" s="200" t="s">
        <v>112</v>
      </c>
      <c r="C127" s="181" t="s">
        <v>192</v>
      </c>
      <c r="D127" s="182"/>
    </row>
    <row r="128" spans="1:4" ht="13.5">
      <c r="A128" s="166"/>
      <c r="B128" s="170"/>
      <c r="C128" s="181" t="s">
        <v>114</v>
      </c>
      <c r="D128" s="169"/>
    </row>
    <row r="129" spans="1:4" ht="13.5">
      <c r="A129" s="134"/>
      <c r="B129" s="135"/>
      <c r="C129" s="136"/>
      <c r="D129" s="137"/>
    </row>
    <row r="130" spans="1:4" ht="13.5">
      <c r="A130" s="134"/>
      <c r="B130" s="135"/>
      <c r="C130" s="201" t="s">
        <v>193</v>
      </c>
      <c r="D130" s="137"/>
    </row>
    <row r="131" spans="1:4" ht="13.5">
      <c r="A131" s="184"/>
      <c r="B131" s="185"/>
      <c r="C131" s="188"/>
      <c r="D131" s="209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24" sqref="A24"/>
    </sheetView>
  </sheetViews>
  <sheetFormatPr defaultColWidth="9.140625" defaultRowHeight="12.75"/>
  <cols>
    <col min="1" max="1" width="28.57421875" style="0" customWidth="1"/>
    <col min="2" max="2" width="1.8515625" style="0" customWidth="1"/>
    <col min="3" max="3" width="0.85546875" style="0" customWidth="1"/>
    <col min="4" max="4" width="14.8515625" style="0" customWidth="1"/>
    <col min="5" max="16384" width="8.8515625" style="0" customWidth="1"/>
  </cols>
  <sheetData>
    <row r="1" spans="1:4" ht="15">
      <c r="A1" s="210" t="str">
        <f>Brevet_Number</f>
        <v>VI0601A</v>
      </c>
      <c r="B1" s="210"/>
      <c r="C1" s="210"/>
      <c r="D1" s="210"/>
    </row>
    <row r="2" spans="1:4" ht="15">
      <c r="A2" s="211" t="s">
        <v>212</v>
      </c>
      <c r="B2" s="211"/>
      <c r="C2" s="212"/>
      <c r="D2" s="213" t="s">
        <v>213</v>
      </c>
    </row>
    <row r="3" spans="1:5" ht="12.75">
      <c r="A3" s="84" t="s">
        <v>214</v>
      </c>
      <c r="B3" s="32">
        <f>Riders!B4</f>
        <v>0</v>
      </c>
      <c r="C3" s="32"/>
      <c r="D3" s="214">
        <v>1.148611111111111</v>
      </c>
      <c r="E3">
        <f>IF(ISBLANK(Riders!P4),"",Riders!P4)</f>
      </c>
    </row>
    <row r="4" spans="1:4" ht="12.75">
      <c r="A4" s="84" t="s">
        <v>215</v>
      </c>
      <c r="B4" s="32"/>
      <c r="C4" s="32"/>
      <c r="D4" s="214">
        <v>1.325</v>
      </c>
    </row>
    <row r="5" spans="1:4" ht="12.75">
      <c r="A5" s="84" t="s">
        <v>216</v>
      </c>
      <c r="B5" s="32"/>
      <c r="C5" s="32"/>
      <c r="D5" s="214">
        <v>1.4881944444444446</v>
      </c>
    </row>
    <row r="6" spans="1:4" ht="12.75">
      <c r="A6" s="84" t="s">
        <v>217</v>
      </c>
      <c r="B6" s="32"/>
      <c r="C6" s="32"/>
      <c r="D6" s="214">
        <v>1.4881944444444446</v>
      </c>
    </row>
    <row r="7" spans="1:4" ht="12.75">
      <c r="A7" s="84" t="s">
        <v>218</v>
      </c>
      <c r="B7" s="32"/>
      <c r="C7" s="32"/>
      <c r="D7" s="214">
        <v>1.4881944444444446</v>
      </c>
    </row>
    <row r="8" spans="1:4" ht="12.75">
      <c r="A8" s="89"/>
      <c r="B8" s="76"/>
      <c r="C8" s="76"/>
      <c r="D8" s="215"/>
    </row>
    <row r="10" ht="12.75">
      <c r="A10" t="s">
        <v>219</v>
      </c>
    </row>
    <row r="11" ht="12.75">
      <c r="A11" t="s">
        <v>220</v>
      </c>
    </row>
    <row r="12" ht="12.75">
      <c r="A12" t="s">
        <v>221</v>
      </c>
    </row>
    <row r="13" ht="12.75">
      <c r="A13" t="s">
        <v>222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28th  March, 1999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Raymond Parker</cp:lastModifiedBy>
  <cp:lastPrinted>2009-05-29T04:05:10Z</cp:lastPrinted>
  <dcterms:created xsi:type="dcterms:W3CDTF">1997-11-12T04:43:39Z</dcterms:created>
  <dcterms:modified xsi:type="dcterms:W3CDTF">2009-12-20T00:08:55Z</dcterms:modified>
  <cp:category/>
  <cp:version/>
  <cp:contentType/>
  <cp:contentStatus/>
</cp:coreProperties>
</file>