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3"/>
  </bookViews>
  <sheets>
    <sheet name="Control Entry" sheetId="1" r:id="rId1"/>
    <sheet name="Control Sheet" sheetId="2" r:id="rId2"/>
    <sheet name="Riders" sheetId="3" r:id="rId3"/>
    <sheet name="VI0605A 060527" sheetId="4" r:id="rId4"/>
    <sheet name="Web sheet" sheetId="5" r:id="rId5"/>
  </sheets>
  <definedNames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<sst xmlns="http://schemas.openxmlformats.org/spreadsheetml/2006/main" count="612" uniqueCount="321">
  <si>
    <t>Brevet Length:</t>
  </si>
  <si>
    <t>Maximum Time:</t>
  </si>
  <si>
    <t>Brevet Description:</t>
  </si>
  <si>
    <t>Pacific Rim 600 --Campbell River option (Parksville start)</t>
  </si>
  <si>
    <t>Brevet Number:</t>
  </si>
  <si>
    <t>VI0605A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</si>
  <si>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</si>
  <si>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</si>
  <si>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</si>
  <si>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</si>
  <si>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</si>
  <si>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</si>
  <si>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</si>
  <si>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</si>
  <si>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</si>
  <si>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</si>
  <si>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</si>
  <si>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</si>
  <si>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</si>
  <si>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PARKSVILLE</t>
  </si>
  <si>
    <t>Chevron</t>
  </si>
  <si>
    <t>Highway #19A @</t>
  </si>
  <si>
    <t>Alberni Hwy</t>
  </si>
  <si>
    <t>Control 2</t>
  </si>
  <si>
    <t>PORT ALBERNI</t>
  </si>
  <si>
    <t>7 -- 11</t>
  </si>
  <si>
    <t>Highway #4 @</t>
  </si>
  <si>
    <t>Gertrude</t>
  </si>
  <si>
    <t>Control 3</t>
  </si>
  <si>
    <t>TOFINO</t>
  </si>
  <si>
    <t>Your choice</t>
  </si>
  <si>
    <t>1st</t>
  </si>
  <si>
    <t>Control 4</t>
  </si>
  <si>
    <t>Control 5</t>
  </si>
  <si>
    <t>LANTZVILLE</t>
  </si>
  <si>
    <t>Tim Hortons</t>
  </si>
  <si>
    <t>Dickenson</t>
  </si>
  <si>
    <t>Control 6</t>
  </si>
  <si>
    <t>QUALICUM BEACH</t>
  </si>
  <si>
    <t>Shell Gas</t>
  </si>
  <si>
    <t>Memorial</t>
  </si>
  <si>
    <t>Control 7</t>
  </si>
  <si>
    <t>WILLOW POINT</t>
  </si>
  <si>
    <t>7-11</t>
  </si>
  <si>
    <t>Hilchey</t>
  </si>
  <si>
    <t>Control 8</t>
  </si>
  <si>
    <t>Control 9</t>
  </si>
  <si>
    <t>SECRET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</si>
  <si>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</si>
  <si>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</si>
  <si>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</si>
  <si>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</si>
  <si>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</si>
  <si>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</si>
  <si>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</si>
  <si>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</si>
  <si>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</si>
  <si>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</si>
  <si>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</si>
  <si>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</si>
  <si>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</si>
  <si>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</si>
  <si>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</si>
  <si>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</si>
  <si>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</si>
  <si>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</si>
  <si>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</si>
  <si>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</si>
  <si>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</si>
  <si>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</si>
  <si>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</si>
  <si>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</si>
  <si>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</si>
  <si>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</si>
  <si>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</si>
  <si>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</si>
  <si>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</si>
  <si>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</si>
  <si>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</si>
  <si>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</si>
  <si>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</si>
  <si>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</si>
  <si>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</si>
  <si>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(250)246-0238</t>
  </si>
  <si>
    <t>361-7622</t>
  </si>
  <si>
    <t>msg(250) 388-5365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</si>
  <si>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</si>
  <si>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</si>
  <si>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</si>
  <si>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</si>
  <si>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</si>
  <si>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</si>
  <si>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</si>
  <si>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</si>
  <si>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</si>
  <si>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</si>
  <si>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Notes</t>
  </si>
  <si>
    <t>Rand Memb</t>
  </si>
  <si>
    <t>Pin</t>
  </si>
  <si>
    <t>Fishlock</t>
  </si>
  <si>
    <t>Graham</t>
  </si>
  <si>
    <t>13100 Prospect Drive</t>
  </si>
  <si>
    <t>Ladysmith</t>
  </si>
  <si>
    <t>BC</t>
  </si>
  <si>
    <t>Canada</t>
  </si>
  <si>
    <t>V9G 1G9</t>
  </si>
  <si>
    <t>250 245-4906       </t>
  </si>
  <si>
    <t>barnswallow@telus.net</t>
  </si>
  <si>
    <t>LePage</t>
  </si>
  <si>
    <t>Bob</t>
  </si>
  <si>
    <t>3896 24th Avenue West</t>
  </si>
  <si>
    <t>Vancouver</t>
  </si>
  <si>
    <t>V6K 1J1</t>
  </si>
  <si>
    <t>(604) 222-3587</t>
  </si>
  <si>
    <t>deirbob@telus.net</t>
  </si>
  <si>
    <t>Sandquist</t>
  </si>
  <si>
    <t>Sandy</t>
  </si>
  <si>
    <t>1060 Smithers Road</t>
  </si>
  <si>
    <t>Parksville</t>
  </si>
  <si>
    <t>V9P 2C2</t>
  </si>
  <si>
    <t>(250) 284-2520</t>
  </si>
  <si>
    <t>Ortega</t>
  </si>
  <si>
    <t xml:space="preserve">Salvador </t>
  </si>
  <si>
    <t>M.</t>
  </si>
  <si>
    <t>3240 Camellia Dr. So.,</t>
  </si>
  <si>
    <t>Salem</t>
  </si>
  <si>
    <t>OR</t>
  </si>
  <si>
    <t>U.S.A</t>
  </si>
  <si>
    <t xml:space="preserve">    (503) 931-6476               </t>
  </si>
  <si>
    <t>sal_ortega@hotmail.com</t>
  </si>
  <si>
    <t>Allen</t>
  </si>
  <si>
    <t>Susan</t>
  </si>
  <si>
    <t>2356 6th Avenue West</t>
  </si>
  <si>
    <t xml:space="preserve">V6K1V9 </t>
  </si>
  <si>
    <t>(604) 734-2504</t>
  </si>
  <si>
    <t>chemainus200@sadahome.ca</t>
  </si>
  <si>
    <t>Carter</t>
  </si>
  <si>
    <t>Ken</t>
  </si>
  <si>
    <t>1306 128th St. NW</t>
  </si>
  <si>
    <t>Marysville</t>
  </si>
  <si>
    <t>WA</t>
  </si>
  <si>
    <t>360-654-3336</t>
  </si>
  <si>
    <t>ron.penner@sage.com</t>
  </si>
  <si>
    <t>Barill</t>
  </si>
  <si>
    <t>Tracy</t>
  </si>
  <si>
    <t>P.</t>
  </si>
  <si>
    <t>3515 Sunset Boulevard</t>
  </si>
  <si>
    <t>North Vancouver</t>
  </si>
  <si>
    <t>V7R3Y1</t>
  </si>
  <si>
    <t>604-988-9827</t>
  </si>
  <si>
    <t>tracy@barill.ca</t>
  </si>
  <si>
    <t>Arscott</t>
  </si>
  <si>
    <t>Deirdre</t>
  </si>
  <si>
    <t>Parker</t>
  </si>
  <si>
    <t>Raymond</t>
  </si>
  <si>
    <t>J.</t>
  </si>
  <si>
    <t>#1 -- 444 Michigan Street</t>
  </si>
  <si>
    <t>Victoria</t>
  </si>
  <si>
    <t>V8V 1R5</t>
  </si>
  <si>
    <t>(250) 388-5365</t>
  </si>
  <si>
    <t>randoray@shaw.ca</t>
  </si>
  <si>
    <t>Wright</t>
  </si>
  <si>
    <t>Patrick</t>
  </si>
  <si>
    <t>1453 Taunton St.</t>
  </si>
  <si>
    <t xml:space="preserve">BC </t>
  </si>
  <si>
    <t>V8R 1W8</t>
  </si>
  <si>
    <t>(250) 370-9167</t>
  </si>
  <si>
    <t>pat_jen@hotmail.com</t>
  </si>
  <si>
    <t>Watson</t>
  </si>
  <si>
    <t>Jenny</t>
  </si>
  <si>
    <t>Bonner</t>
  </si>
  <si>
    <t>2609 Orchard Ave.</t>
  </si>
  <si>
    <t xml:space="preserve">V8S 3B2 </t>
  </si>
  <si>
    <t>(250) 598-4135</t>
  </si>
  <si>
    <t>kenbonner@telus.net</t>
  </si>
  <si>
    <t>Barr</t>
  </si>
  <si>
    <t>3464 West 3rd Ave</t>
  </si>
  <si>
    <t>V6R 1L5</t>
  </si>
  <si>
    <t>604-738-4163</t>
  </si>
  <si>
    <t>sibarr@interchange.ubc.ca</t>
  </si>
  <si>
    <t>Fidler</t>
  </si>
  <si>
    <t>Jim</t>
  </si>
  <si>
    <t>4128 Tuxedo Dr.</t>
  </si>
  <si>
    <t>V8X 2M1</t>
  </si>
  <si>
    <t>(250) 479-8858</t>
  </si>
  <si>
    <t>thefidlers@gmail.com</t>
  </si>
  <si>
    <t>Scollen</t>
  </si>
  <si>
    <t>Clyde</t>
  </si>
  <si>
    <t>2316 Harbourgreene Drive</t>
  </si>
  <si>
    <t>Surrey</t>
  </si>
  <si>
    <t>V4A 5J2</t>
  </si>
  <si>
    <t>604-535-8780</t>
  </si>
  <si>
    <t>604-524-4911</t>
  </si>
  <si>
    <t>scollan@telus.net</t>
  </si>
  <si>
    <t>Inouye</t>
  </si>
  <si>
    <t>Darren</t>
  </si>
  <si>
    <t>#602 6070 McMurray Ave</t>
  </si>
  <si>
    <t>Burnaby</t>
  </si>
  <si>
    <t>V5H 4J3</t>
  </si>
  <si>
    <t>604.671.4701</t>
  </si>
  <si>
    <t>Press</t>
  </si>
  <si>
    <t>Nigel</t>
  </si>
  <si>
    <t>2580 Cambridge Street</t>
  </si>
  <si>
    <t>V5K 1L4</t>
  </si>
  <si>
    <t>604-258-7486</t>
  </si>
  <si>
    <t>Bjorseth</t>
  </si>
  <si>
    <t xml:space="preserve">Leif </t>
  </si>
  <si>
    <t xml:space="preserve">14510 Mann Park Crescent </t>
  </si>
  <si>
    <t>White Rock</t>
  </si>
  <si>
    <t xml:space="preserve">V4B 3A8 </t>
  </si>
  <si>
    <t xml:space="preserve">(604) 538-2339  </t>
  </si>
  <si>
    <t>Leif.Bjorseth@burnaby.ca</t>
  </si>
  <si>
    <t>Stary</t>
  </si>
  <si>
    <t>Peter</t>
  </si>
  <si>
    <t>4025 Georgia Street</t>
  </si>
  <si>
    <t>V5C 2T3</t>
  </si>
  <si>
    <t>(604) 291-2621</t>
  </si>
  <si>
    <t>Kirsop</t>
  </si>
  <si>
    <t>David</t>
  </si>
  <si>
    <t>11495 85 Avenue</t>
  </si>
  <si>
    <t>Delta</t>
  </si>
  <si>
    <t xml:space="preserve">V4C 2T8 </t>
  </si>
  <si>
    <t xml:space="preserve">(604) 590-5474 </t>
  </si>
  <si>
    <t>dkirsop@dccnet.com</t>
  </si>
  <si>
    <t>Schlingloff</t>
  </si>
  <si>
    <t>Jeff</t>
  </si>
  <si>
    <t>Fergusson</t>
  </si>
  <si>
    <t>Eric</t>
  </si>
  <si>
    <t>307 - 2770 Burrard Street</t>
  </si>
  <si>
    <t>V6J 3J8</t>
  </si>
  <si>
    <t>604-733-6657</t>
  </si>
  <si>
    <t>eric_fergusson@telus.net</t>
  </si>
  <si>
    <t>Mudrakoff</t>
  </si>
  <si>
    <t>3743 Eton St.</t>
  </si>
  <si>
    <t>V5C 1J3</t>
  </si>
  <si>
    <t>604-764-0521</t>
  </si>
  <si>
    <t>jeff@wpe.bc.ca</t>
  </si>
  <si>
    <t>Koen</t>
  </si>
  <si>
    <t>3339 6th Avenue West</t>
  </si>
  <si>
    <t xml:space="preserve">V6R1T2 </t>
  </si>
  <si>
    <t>(604) 730-0794</t>
  </si>
  <si>
    <t>bkoen@webtechwireless.com</t>
  </si>
  <si>
    <t>Martin</t>
  </si>
  <si>
    <t>Lindsay</t>
  </si>
  <si>
    <t>Apt 105 - 915 Cook Street</t>
  </si>
  <si>
    <t>V8V 3Z4</t>
  </si>
  <si>
    <t>(250) 477-7482</t>
  </si>
  <si>
    <t>lindsaymartin@telus.net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</si>
  <si>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</si>
  <si>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</si>
  <si>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</si>
  <si>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</si>
  <si>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</si>
  <si>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</si>
  <si>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</si>
  <si>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</si>
  <si>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</si>
  <si>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START--Chevron, Parksville</t>
  </si>
  <si>
    <t>U</t>
  </si>
  <si>
    <t>U-turn back to Port Alberni</t>
  </si>
  <si>
    <t>Alberni Hwy @ Hwy #19A</t>
  </si>
  <si>
    <t>SO</t>
  </si>
  <si>
    <t>HWY #4</t>
  </si>
  <si>
    <t>L</t>
  </si>
  <si>
    <t>HWY #4 (to Port Alberni)</t>
  </si>
  <si>
    <t xml:space="preserve">ALBERNI HWY </t>
  </si>
  <si>
    <t>RIVER (Hwy #4)</t>
  </si>
  <si>
    <t xml:space="preserve">under Hwy #19 </t>
  </si>
  <si>
    <t>HWY #4 (to Nanaimo)</t>
  </si>
  <si>
    <t>ALBERNI HWY (Hwy #4)(Memorial)</t>
  </si>
  <si>
    <t>R</t>
  </si>
  <si>
    <t>CONTROL #3--7-11, Port Alberni</t>
  </si>
  <si>
    <t>CONTROL #1--7-11, Port Alberni</t>
  </si>
  <si>
    <t>Hwy #4 @ Gertrude</t>
  </si>
  <si>
    <t>Caution:  No services until Tofino</t>
  </si>
  <si>
    <t>ALBERNI HWY (Hwy #4A)(Coombs)</t>
  </si>
  <si>
    <t>EXIT to HWY #19 (to Nanaimo)</t>
  </si>
  <si>
    <t>HWY #4 (to Tofino)</t>
  </si>
  <si>
    <t>EXIT 29 (HWY #19A)</t>
  </si>
  <si>
    <t>cross Hwy #19 (Nanaimo Pkwy)</t>
  </si>
  <si>
    <t xml:space="preserve">HWY #4 </t>
  </si>
  <si>
    <t>DICKENSON</t>
  </si>
  <si>
    <t>HWY #4 (Pacific Rim Hwy)</t>
  </si>
  <si>
    <t>CANADIAN TIRE MALL</t>
  </si>
  <si>
    <t>CAMPBELL (enter Tofino)</t>
  </si>
  <si>
    <t>CONTROL #4--Tim Hortons</t>
  </si>
  <si>
    <t>CONTROL #2--Your choice, Tofino</t>
  </si>
  <si>
    <t>Hwy #19A @ Dickenson</t>
  </si>
  <si>
    <t>Campbell (Hwy #4) @ 1st</t>
  </si>
  <si>
    <t>Lantzville</t>
  </si>
  <si>
    <t>Exit Mall South</t>
  </si>
  <si>
    <t>HWY #19A (south)</t>
  </si>
  <si>
    <t>south through Ocean Grove</t>
  </si>
  <si>
    <t>Hwy #19A North (lights)</t>
  </si>
  <si>
    <t xml:space="preserve">HWY #19A </t>
  </si>
  <si>
    <t>Hwy #19 North</t>
  </si>
  <si>
    <t>HWY #19A (Comox Rd.)(lights)</t>
  </si>
  <si>
    <t>HWY #19A (old Island hwy: Exit 46)</t>
  </si>
  <si>
    <t>HWY #19A (17th St. Courtenay)(light)</t>
  </si>
  <si>
    <t>North through Parksville</t>
  </si>
  <si>
    <t>HWY #19A (at PetroCan)(lights)</t>
  </si>
  <si>
    <t>MEMORIAL., Qualicum Beach</t>
  </si>
  <si>
    <t>HWY #19A (@ 29th St)(lights)</t>
  </si>
  <si>
    <t>south through Qualicum Beach</t>
  </si>
  <si>
    <t>CONTROL #5--Shell Gas</t>
  </si>
  <si>
    <t>Qualicum Beach</t>
  </si>
  <si>
    <t>FINISH--Chevron, Parksville</t>
  </si>
  <si>
    <t>Hwy #19A @ Alberni Hwy</t>
  </si>
  <si>
    <t>MEMORIAL</t>
  </si>
  <si>
    <t>HWY #19A (north to Courtenay)</t>
  </si>
  <si>
    <t>HWY #19A (@ 29th St.lights)</t>
  </si>
  <si>
    <t>HWY #19A (17th St., Courtenay)</t>
  </si>
  <si>
    <t>HWY #19A (Comox Rd.)</t>
  </si>
  <si>
    <t xml:space="preserve">HWY #19A (2nd lights) </t>
  </si>
  <si>
    <t>north through Ocean Grove</t>
  </si>
  <si>
    <t xml:space="preserve">HWY #19A (old Island Hwy) </t>
  </si>
  <si>
    <t>CONTROL #6 -- 7-11</t>
  </si>
  <si>
    <t>!!! CONGRATULATIONS !!!</t>
  </si>
  <si>
    <t>Willow Point (S. Island &amp; Hilchey)</t>
  </si>
  <si>
    <t>HWY #19A (old Island highway: Exit 46)</t>
  </si>
  <si>
    <t>CONTROL #6 --7-11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</si>
</sst>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8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Alignment="0" applyProtection="0"/>
  </cellStyleXfs>
  <cellXfs count="19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4" fontId="0" fillId="0" borderId="11" xfId="0" applyBorder="1" applyAlignment="1" applyProtection="1">
      <alignment/>
      <protection locked="0"/>
    </xf>
    <xf numFmtId="169" fontId="0" fillId="0" borderId="13" xfId="0" applyNumberFormat="1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6" fillId="0" borderId="15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 wrapText="1"/>
    </xf>
    <xf numFmtId="164" fontId="6" fillId="0" borderId="15" xfId="0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8" fillId="0" borderId="0" xfId="0" applyFont="1" applyAlignment="1">
      <alignment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 horizontal="center"/>
      <protection locked="0"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164" fontId="11" fillId="0" borderId="17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74" fontId="11" fillId="0" borderId="17" xfId="0" applyNumberFormat="1" applyFont="1" applyBorder="1" applyAlignment="1" applyProtection="1">
      <alignment horizontal="center"/>
      <protection/>
    </xf>
    <xf numFmtId="164" fontId="11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wrapText="1"/>
    </xf>
    <xf numFmtId="175" fontId="8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2" fillId="0" borderId="0" xfId="0" applyFont="1" applyBorder="1" applyAlignment="1">
      <alignment horizontal="center" vertical="top"/>
    </xf>
    <xf numFmtId="164" fontId="12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12" fillId="0" borderId="0" xfId="0" applyFont="1" applyAlignment="1">
      <alignment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13" fillId="2" borderId="5" xfId="0" applyFont="1" applyFill="1" applyBorder="1" applyAlignment="1">
      <alignment/>
    </xf>
    <xf numFmtId="164" fontId="13" fillId="2" borderId="5" xfId="0" applyFont="1" applyFill="1" applyBorder="1" applyAlignment="1">
      <alignment wrapText="1"/>
    </xf>
    <xf numFmtId="174" fontId="13" fillId="2" borderId="5" xfId="0" applyNumberFormat="1" applyFont="1" applyFill="1" applyBorder="1" applyAlignment="1">
      <alignment/>
    </xf>
    <xf numFmtId="174" fontId="13" fillId="2" borderId="5" xfId="0" applyNumberFormat="1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 wrapText="1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64" fontId="0" fillId="0" borderId="3" xfId="0" applyFont="1" applyBorder="1" applyAlignment="1">
      <alignment/>
    </xf>
    <xf numFmtId="174" fontId="0" fillId="0" borderId="3" xfId="0" applyNumberFormat="1" applyFont="1" applyBorder="1" applyAlignment="1" applyProtection="1">
      <alignment/>
      <protection locked="0"/>
    </xf>
    <xf numFmtId="164" fontId="14" fillId="0" borderId="3" xfId="2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1" xfId="0" applyBorder="1" applyAlignment="1" applyProtection="1">
      <alignment horizontal="center"/>
      <protection locked="0"/>
    </xf>
    <xf numFmtId="164" fontId="0" fillId="0" borderId="23" xfId="0" applyFont="1" applyBorder="1" applyAlignment="1">
      <alignment/>
    </xf>
    <xf numFmtId="164" fontId="0" fillId="0" borderId="0" xfId="0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64" fontId="0" fillId="0" borderId="3" xfId="0" applyFont="1" applyBorder="1" applyAlignment="1">
      <alignment horizontal="left"/>
    </xf>
    <xf numFmtId="164" fontId="0" fillId="0" borderId="3" xfId="0" applyBorder="1" applyAlignment="1" applyProtection="1">
      <alignment horizontal="center"/>
      <protection locked="0"/>
    </xf>
    <xf numFmtId="164" fontId="0" fillId="3" borderId="3" xfId="0" applyFont="1" applyFill="1" applyBorder="1" applyAlignment="1">
      <alignment/>
    </xf>
    <xf numFmtId="164" fontId="0" fillId="3" borderId="23" xfId="0" applyFont="1" applyFill="1" applyBorder="1" applyAlignment="1">
      <alignment/>
    </xf>
    <xf numFmtId="164" fontId="0" fillId="3" borderId="0" xfId="0" applyFont="1" applyFill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14" fillId="3" borderId="3" xfId="20" applyNumberFormat="1" applyFont="1" applyFill="1" applyBorder="1" applyAlignment="1" applyProtection="1">
      <alignment/>
      <protection/>
    </xf>
    <xf numFmtId="164" fontId="0" fillId="3" borderId="3" xfId="0" applyFont="1" applyFill="1" applyBorder="1" applyAlignment="1">
      <alignment horizontal="center"/>
    </xf>
    <xf numFmtId="164" fontId="0" fillId="0" borderId="23" xfId="0" applyFont="1" applyBorder="1" applyAlignment="1" applyProtection="1">
      <alignment/>
      <protection locked="0"/>
    </xf>
    <xf numFmtId="174" fontId="0" fillId="0" borderId="23" xfId="0" applyNumberFormat="1" applyFont="1" applyBorder="1" applyAlignment="1" applyProtection="1">
      <alignment/>
      <protection locked="0"/>
    </xf>
    <xf numFmtId="164" fontId="0" fillId="0" borderId="3" xfId="0" applyFont="1" applyFill="1" applyBorder="1" applyAlignment="1" applyProtection="1">
      <alignment/>
      <protection locked="0"/>
    </xf>
    <xf numFmtId="164" fontId="0" fillId="0" borderId="15" xfId="0" applyFont="1" applyBorder="1" applyAlignment="1" applyProtection="1">
      <alignment/>
      <protection locked="0"/>
    </xf>
    <xf numFmtId="174" fontId="0" fillId="0" borderId="0" xfId="0" applyNumberFormat="1" applyFont="1" applyAlignment="1" applyProtection="1">
      <alignment/>
      <protection locked="0"/>
    </xf>
    <xf numFmtId="174" fontId="0" fillId="0" borderId="24" xfId="0" applyNumberFormat="1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5" xfId="0" applyNumberFormat="1" applyFont="1" applyFill="1" applyBorder="1" applyAlignment="1">
      <alignment horizontal="center" textRotation="90"/>
    </xf>
    <xf numFmtId="166" fontId="0" fillId="3" borderId="26" xfId="0" applyNumberFormat="1" applyFont="1" applyFill="1" applyBorder="1" applyAlignment="1">
      <alignment horizontal="center" wrapText="1"/>
    </xf>
    <xf numFmtId="169" fontId="0" fillId="3" borderId="27" xfId="0" applyNumberFormat="1" applyFont="1" applyFill="1" applyBorder="1" applyAlignment="1">
      <alignment horizontal="center" textRotation="90" wrapText="1"/>
    </xf>
    <xf numFmtId="169" fontId="13" fillId="0" borderId="28" xfId="0" applyNumberFormat="1" applyFont="1" applyBorder="1" applyAlignment="1">
      <alignment horizontal="right"/>
    </xf>
    <xf numFmtId="166" fontId="13" fillId="0" borderId="29" xfId="0" applyNumberFormat="1" applyFont="1" applyBorder="1" applyAlignment="1">
      <alignment horizontal="center"/>
    </xf>
    <xf numFmtId="166" fontId="13" fillId="0" borderId="30" xfId="0" applyNumberFormat="1" applyFont="1" applyBorder="1" applyAlignment="1">
      <alignment horizontal="center"/>
    </xf>
    <xf numFmtId="169" fontId="13" fillId="0" borderId="31" xfId="0" applyNumberFormat="1" applyFont="1" applyBorder="1" applyAlignment="1">
      <alignment horizontal="right"/>
    </xf>
    <xf numFmtId="169" fontId="0" fillId="0" borderId="28" xfId="0" applyNumberFormat="1" applyBorder="1" applyAlignment="1">
      <alignment horizontal="right"/>
    </xf>
    <xf numFmtId="166" fontId="0" fillId="0" borderId="30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left"/>
    </xf>
    <xf numFmtId="169" fontId="0" fillId="0" borderId="31" xfId="0" applyNumberFormat="1" applyBorder="1" applyAlignment="1">
      <alignment horizontal="right"/>
    </xf>
    <xf numFmtId="166" fontId="0" fillId="0" borderId="29" xfId="0" applyNumberFormat="1" applyBorder="1" applyAlignment="1">
      <alignment horizontal="center"/>
    </xf>
    <xf numFmtId="166" fontId="0" fillId="0" borderId="29" xfId="0" applyNumberFormat="1" applyFont="1" applyBorder="1" applyAlignment="1">
      <alignment horizontal="left"/>
    </xf>
    <xf numFmtId="169" fontId="13" fillId="0" borderId="28" xfId="0" applyNumberFormat="1" applyFont="1" applyBorder="1" applyAlignment="1">
      <alignment/>
    </xf>
    <xf numFmtId="164" fontId="13" fillId="0" borderId="30" xfId="0" applyFont="1" applyBorder="1" applyAlignment="1">
      <alignment horizontal="center"/>
    </xf>
    <xf numFmtId="166" fontId="13" fillId="0" borderId="29" xfId="0" applyNumberFormat="1" applyFont="1" applyBorder="1" applyAlignment="1">
      <alignment horizontal="left"/>
    </xf>
    <xf numFmtId="166" fontId="0" fillId="0" borderId="30" xfId="0" applyNumberFormat="1" applyFont="1" applyBorder="1" applyAlignment="1" applyProtection="1">
      <alignment horizontal="center"/>
      <protection locked="0"/>
    </xf>
    <xf numFmtId="166" fontId="0" fillId="0" borderId="30" xfId="0" applyNumberFormat="1" applyFont="1" applyBorder="1" applyAlignment="1" applyProtection="1">
      <alignment horizontal="left"/>
      <protection locked="0"/>
    </xf>
    <xf numFmtId="169" fontId="0" fillId="0" borderId="31" xfId="0" applyNumberFormat="1" applyBorder="1" applyAlignment="1" applyProtection="1">
      <alignment horizontal="right"/>
      <protection locked="0"/>
    </xf>
    <xf numFmtId="169" fontId="0" fillId="0" borderId="28" xfId="0" applyNumberFormat="1" applyBorder="1" applyAlignment="1" applyProtection="1">
      <alignment horizontal="right"/>
      <protection locked="0"/>
    </xf>
    <xf numFmtId="166" fontId="13" fillId="0" borderId="30" xfId="0" applyNumberFormat="1" applyFont="1" applyBorder="1" applyAlignment="1" applyProtection="1">
      <alignment horizontal="center"/>
      <protection locked="0"/>
    </xf>
    <xf numFmtId="169" fontId="0" fillId="0" borderId="32" xfId="0" applyNumberFormat="1" applyBorder="1" applyAlignment="1">
      <alignment horizontal="right"/>
    </xf>
    <xf numFmtId="166" fontId="0" fillId="0" borderId="33" xfId="0" applyNumberFormat="1" applyBorder="1" applyAlignment="1">
      <alignment horizontal="center"/>
    </xf>
    <xf numFmtId="166" fontId="0" fillId="0" borderId="33" xfId="0" applyNumberFormat="1" applyBorder="1" applyAlignment="1">
      <alignment horizontal="left"/>
    </xf>
    <xf numFmtId="169" fontId="0" fillId="0" borderId="7" xfId="0" applyNumberFormat="1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4" fontId="0" fillId="0" borderId="30" xfId="0" applyFont="1" applyBorder="1" applyAlignment="1" applyProtection="1">
      <alignment horizontal="center"/>
      <protection locked="0"/>
    </xf>
    <xf numFmtId="164" fontId="0" fillId="0" borderId="30" xfId="0" applyFont="1" applyBorder="1" applyAlignment="1" applyProtection="1">
      <alignment/>
      <protection locked="0"/>
    </xf>
    <xf numFmtId="164" fontId="0" fillId="0" borderId="34" xfId="0" applyBorder="1" applyAlignment="1">
      <alignment/>
    </xf>
    <xf numFmtId="166" fontId="0" fillId="0" borderId="29" xfId="0" applyNumberFormat="1" applyFont="1" applyBorder="1" applyAlignment="1" applyProtection="1">
      <alignment horizontal="center"/>
      <protection locked="0"/>
    </xf>
    <xf numFmtId="166" fontId="0" fillId="0" borderId="29" xfId="0" applyNumberFormat="1" applyFont="1" applyBorder="1" applyAlignment="1" applyProtection="1">
      <alignment horizontal="left"/>
      <protection locked="0"/>
    </xf>
    <xf numFmtId="164" fontId="0" fillId="0" borderId="29" xfId="0" applyFont="1" applyBorder="1" applyAlignment="1" applyProtection="1">
      <alignment horizontal="left"/>
      <protection locked="0"/>
    </xf>
    <xf numFmtId="169" fontId="0" fillId="0" borderId="31" xfId="0" applyNumberFormat="1" applyFont="1" applyBorder="1" applyAlignment="1" applyProtection="1">
      <alignment horizontal="right"/>
      <protection locked="0"/>
    </xf>
    <xf numFmtId="169" fontId="13" fillId="0" borderId="28" xfId="0" applyNumberFormat="1" applyFont="1" applyBorder="1" applyAlignment="1" applyProtection="1">
      <alignment horizontal="right"/>
      <protection locked="0"/>
    </xf>
    <xf numFmtId="164" fontId="13" fillId="0" borderId="30" xfId="0" applyFont="1" applyBorder="1" applyAlignment="1" applyProtection="1">
      <alignment horizontal="center"/>
      <protection locked="0"/>
    </xf>
    <xf numFmtId="169" fontId="13" fillId="0" borderId="31" xfId="0" applyNumberFormat="1" applyFont="1" applyBorder="1" applyAlignment="1" applyProtection="1">
      <alignment horizontal="right"/>
      <protection locked="0"/>
    </xf>
    <xf numFmtId="169" fontId="0" fillId="0" borderId="28" xfId="0" applyNumberFormat="1" applyFont="1" applyBorder="1" applyAlignment="1" applyProtection="1">
      <alignment horizontal="right"/>
      <protection locked="0"/>
    </xf>
    <xf numFmtId="164" fontId="0" fillId="0" borderId="29" xfId="0" applyFont="1" applyBorder="1" applyAlignment="1" applyProtection="1">
      <alignment horizontal="center"/>
      <protection locked="0"/>
    </xf>
    <xf numFmtId="164" fontId="13" fillId="0" borderId="29" xfId="0" applyFont="1" applyBorder="1" applyAlignment="1" applyProtection="1">
      <alignment horizontal="center"/>
      <protection locked="0"/>
    </xf>
    <xf numFmtId="166" fontId="13" fillId="0" borderId="29" xfId="0" applyNumberFormat="1" applyFont="1" applyBorder="1" applyAlignment="1" applyProtection="1">
      <alignment horizontal="center"/>
      <protection locked="0"/>
    </xf>
    <xf numFmtId="166" fontId="15" fillId="0" borderId="30" xfId="0" applyNumberFormat="1" applyFont="1" applyBorder="1" applyAlignment="1">
      <alignment horizontal="center"/>
    </xf>
    <xf numFmtId="166" fontId="13" fillId="0" borderId="33" xfId="0" applyNumberFormat="1" applyFont="1" applyBorder="1" applyAlignment="1">
      <alignment horizontal="center"/>
    </xf>
    <xf numFmtId="166" fontId="16" fillId="0" borderId="29" xfId="0" applyNumberFormat="1" applyFont="1" applyBorder="1" applyAlignment="1">
      <alignment horizontal="left"/>
    </xf>
    <xf numFmtId="169" fontId="0" fillId="0" borderId="35" xfId="0" applyNumberFormat="1" applyBorder="1" applyAlignment="1">
      <alignment horizontal="right"/>
    </xf>
    <xf numFmtId="166" fontId="0" fillId="0" borderId="36" xfId="0" applyNumberFormat="1" applyBorder="1" applyAlignment="1">
      <alignment horizontal="center"/>
    </xf>
    <xf numFmtId="166" fontId="0" fillId="0" borderId="36" xfId="0" applyNumberFormat="1" applyBorder="1" applyAlignment="1">
      <alignment horizontal="left"/>
    </xf>
    <xf numFmtId="169" fontId="0" fillId="0" borderId="37" xfId="0" applyNumberFormat="1" applyBorder="1" applyAlignment="1">
      <alignment horizontal="right"/>
    </xf>
    <xf numFmtId="169" fontId="0" fillId="0" borderId="38" xfId="0" applyNumberFormat="1" applyBorder="1" applyAlignment="1">
      <alignment horizontal="right"/>
    </xf>
    <xf numFmtId="166" fontId="0" fillId="0" borderId="39" xfId="0" applyNumberFormat="1" applyBorder="1" applyAlignment="1">
      <alignment horizontal="center"/>
    </xf>
    <xf numFmtId="166" fontId="13" fillId="0" borderId="39" xfId="0" applyNumberFormat="1" applyFont="1" applyBorder="1" applyAlignment="1">
      <alignment horizontal="center"/>
    </xf>
    <xf numFmtId="169" fontId="0" fillId="0" borderId="16" xfId="0" applyNumberFormat="1" applyBorder="1" applyAlignment="1">
      <alignment horizontal="right"/>
    </xf>
    <xf numFmtId="164" fontId="0" fillId="0" borderId="40" xfId="0" applyBorder="1" applyAlignment="1">
      <alignment/>
    </xf>
    <xf numFmtId="169" fontId="0" fillId="0" borderId="41" xfId="0" applyNumberFormat="1" applyBorder="1" applyAlignment="1">
      <alignment horizontal="right"/>
    </xf>
    <xf numFmtId="166" fontId="0" fillId="0" borderId="42" xfId="0" applyNumberFormat="1" applyBorder="1" applyAlignment="1">
      <alignment horizontal="center"/>
    </xf>
    <xf numFmtId="166" fontId="0" fillId="0" borderId="42" xfId="0" applyNumberFormat="1" applyBorder="1" applyAlignment="1">
      <alignment horizontal="left"/>
    </xf>
    <xf numFmtId="169" fontId="0" fillId="0" borderId="43" xfId="0" applyNumberForma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9525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257175"/>
          <a:ext cx="474345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rnswallow@telus.net" TargetMode="External" /><Relationship Id="rId2" Type="http://schemas.openxmlformats.org/officeDocument/2006/relationships/hyperlink" Target="mailto:chemainus200@sadahome.ca" TargetMode="External" /><Relationship Id="rId3" Type="http://schemas.openxmlformats.org/officeDocument/2006/relationships/hyperlink" Target="mailto:deirbob@telus.net" TargetMode="External" /><Relationship Id="rId4" Type="http://schemas.openxmlformats.org/officeDocument/2006/relationships/hyperlink" Target="mailto:randoray@shaw.ca" TargetMode="External" /><Relationship Id="rId5" Type="http://schemas.openxmlformats.org/officeDocument/2006/relationships/hyperlink" Target="mailto:kenbonner@telus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5" sqref="B5"/>
    </sheetView>
  </sheetViews>
  <sheetFormatPr defaultColWidth="9.140625" defaultRowHeight="12.75"/>
  <cols>
    <col min="1" max="1" width="16.57421875" style="1" customWidth="1"/>
    <col min="2" max="2" width="9.710937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  <col min="13" max="16384" width="8.8515625" style="0" customWidth="1"/>
  </cols>
  <sheetData>
    <row r="1" spans="1:3" ht="12.75">
      <c r="A1" s="3" t="s">
        <v>0</v>
      </c>
      <c r="B1" s="4">
        <v>600</v>
      </c>
      <c r="C1" s="5">
        <f>IF(Brevet_Length&gt;=1200,Brevet_Length,IF(Brevet_Length&gt;=1000,1000,IF(Brevet_Length&gt;=600,600,IF(Brevet_Length&gt;=400,400,IF(Brevet_Length&gt;=300,300,IF(Brevet_Length&gt;=200,200,100))))))</f>
        <v>600</v>
      </c>
    </row>
    <row r="2" spans="1:2" ht="12.75">
      <c r="A2" s="6" t="s">
        <v>1</v>
      </c>
      <c r="B2" s="7">
        <f>IF(brevet=1200,90,IF(brevet=1000,75,IF(brevet=600,40,IF(brevet=400,27,IF(brevet=300,20,IF(brevet=200,13.5,IF(brevet=100,7,0)))))))</f>
        <v>40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>
        <v>39228</v>
      </c>
    </row>
    <row r="6" spans="1:2" ht="12.75">
      <c r="A6" s="13" t="s">
        <v>7</v>
      </c>
      <c r="B6" s="14">
        <v>0.25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39228.25</v>
      </c>
      <c r="J10" s="24">
        <f>I10+"1:00"</f>
        <v>39228.291666666664</v>
      </c>
      <c r="K10" s="25">
        <f>IF(ISBLANK(Distance),"",Open Control_1)</f>
        <v>39228.25</v>
      </c>
      <c r="L10" s="25">
        <f>IF(ISBLANK(Distance),"",Close Control_1)</f>
        <v>39228.291666666664</v>
      </c>
    </row>
    <row r="11" spans="3:12" ht="12.75">
      <c r="C11" s="2" t="s">
        <v>23</v>
      </c>
      <c r="D11" s="20">
        <f>'VI0605A 060527'!A9</f>
        <v>48</v>
      </c>
      <c r="E11" s="21" t="s">
        <v>24</v>
      </c>
      <c r="F11" s="22" t="s">
        <v>25</v>
      </c>
      <c r="G11" s="22" t="s">
        <v>26</v>
      </c>
      <c r="H11" s="23" t="s">
        <v>27</v>
      </c>
      <c r="I11" s="5">
        <f>IF(ISBLANK(Distance),"",IF(Distance&gt;1000,(Distance-1000)/26+33.0847,(IF(Distance&gt;600,(Distance-600)/28+18.799,(IF(Distance&gt;400,(Distance-400)/30+12.1324,(IF(Distance&gt;200,(Distance-200)/32+5.8824,Distance/34))))))))</f>
        <v>1.411764705882353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3.2</v>
      </c>
      <c r="K11" s="25">
        <f>IF(ISBLANK(Distance),"",Open_time Control_1+(INT(Open)&amp;":"&amp;IF(ROUND(((Open-INT(Open))*60),0)&lt;10,0,"")&amp;ROUND(((Open-INT(Open))*60),0)))</f>
        <v>39228.30902777778</v>
      </c>
      <c r="L11" s="25">
        <f>IF(ISBLANK(Distance),"",Open_time Control_1+(INT(Close)&amp;":"&amp;IF(ROUND(((Close-INT(Close))*60),0)&lt;10,0,"")&amp;ROUND(((Close-INT(Close))*60),0)))</f>
        <v>39228.38333333333</v>
      </c>
    </row>
    <row r="12" spans="3:12" ht="12.75">
      <c r="C12" s="2" t="s">
        <v>28</v>
      </c>
      <c r="D12" s="20">
        <f>'VI0605A 060527'!A20</f>
        <v>172</v>
      </c>
      <c r="E12" s="21" t="s">
        <v>29</v>
      </c>
      <c r="F12" s="22" t="s">
        <v>30</v>
      </c>
      <c r="G12" s="22" t="s">
        <v>26</v>
      </c>
      <c r="H12" s="23" t="s">
        <v>31</v>
      </c>
      <c r="I12" s="5">
        <f>IF(ISBLANK(Distance),"",IF(Distance&gt;1000,(Distance-1000)/26+33.0847,(IF(Distance&gt;600,(Distance-600)/28+18.799,(IF(Distance&gt;400,(Distance-400)/30+12.1324,(IF(Distance&gt;200,(Distance-200)/32+5.8824,Distance/34))))))))</f>
        <v>5.0588235294117645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11.466666666666667</v>
      </c>
      <c r="K12" s="25">
        <f>IF(ISBLANK(Distance),"",Open_time Control_1+(INT(Open)&amp;":"&amp;IF(ROUND(((Open-INT(Open))*60),0)&lt;10,0,"")&amp;ROUND(((Open-INT(Open))*60),0)))</f>
        <v>39228.46111111111</v>
      </c>
      <c r="L12" s="25">
        <f>IF(ISBLANK(Distance),"",Open_time Control_1+(INT(Close)&amp;":"&amp;IF(ROUND(((Close-INT(Close))*60),0)&lt;10,0,"")&amp;ROUND(((Close-INT(Close))*60),0)))</f>
        <v>39228.72777777778</v>
      </c>
    </row>
    <row r="13" spans="3:12" ht="12.75">
      <c r="C13" s="2" t="s">
        <v>32</v>
      </c>
      <c r="D13" s="20">
        <f>'VI0605A 060527'!F8</f>
        <v>295.99999999999994</v>
      </c>
      <c r="E13" s="21" t="s">
        <v>24</v>
      </c>
      <c r="F13" s="22" t="s">
        <v>25</v>
      </c>
      <c r="G13" s="22" t="s">
        <v>26</v>
      </c>
      <c r="H13" s="23" t="s">
        <v>27</v>
      </c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8.882399999999997</v>
      </c>
      <c r="J13" s="5">
        <f t="shared" si="0"/>
        <v>19.73333333333333</v>
      </c>
      <c r="K13" s="25">
        <f>IF(ISBLANK(Distance),"",Open_time Control_1+(INT(Open)&amp;":"&amp;IF(ROUND(((Open-INT(Open))*60),0)&lt;10,0,"")&amp;ROUND(((Open-INT(Open))*60),0)))</f>
        <v>39228.62013888889</v>
      </c>
      <c r="L13" s="25">
        <f>IF(ISBLANK(Distance),"",Open_time Control_1+(INT(Close)&amp;":"&amp;IF(ROUND(((Close-INT(Close))*60),0)&lt;10,0,"")&amp;ROUND(((Close-INT(Close))*60),0)))</f>
        <v>39229.072222222225</v>
      </c>
    </row>
    <row r="14" spans="3:12" ht="12.75">
      <c r="C14" s="2" t="s">
        <v>33</v>
      </c>
      <c r="D14" s="20">
        <f>'VI0605A 060527'!F19</f>
        <v>364.19999999999993</v>
      </c>
      <c r="E14" s="21" t="s">
        <v>34</v>
      </c>
      <c r="F14" s="22" t="s">
        <v>35</v>
      </c>
      <c r="G14" s="22" t="s">
        <v>21</v>
      </c>
      <c r="H14" s="23" t="s">
        <v>36</v>
      </c>
      <c r="I14" s="5">
        <f t="shared" si="1"/>
        <v>11.013649999999998</v>
      </c>
      <c r="J14" s="5">
        <f t="shared" si="0"/>
        <v>24.279999999999994</v>
      </c>
      <c r="K14" s="25">
        <f>IF(ISBLANK(Distance),"",Open_time Control_1+(INT(Open)&amp;":"&amp;IF(ROUND(((Open-INT(Open))*60),0)&lt;10,0,"")&amp;ROUND(((Open-INT(Open))*60),0)))</f>
        <v>39228.709027777775</v>
      </c>
      <c r="L14" s="25">
        <f>IF(ISBLANK(Distance),"",Open_time Control_1+(INT(Close)&amp;":"&amp;IF(ROUND(((Close-INT(Close))*60),0)&lt;10,0,"")&amp;ROUND(((Close-INT(Close))*60),0)))</f>
        <v>39229.26180555556</v>
      </c>
    </row>
    <row r="15" spans="3:12" ht="12.75">
      <c r="C15" s="2" t="s">
        <v>37</v>
      </c>
      <c r="D15" s="20">
        <f>'VI0605A 060527'!A34</f>
        <v>398.2999999999999</v>
      </c>
      <c r="E15" s="21" t="s">
        <v>38</v>
      </c>
      <c r="F15" s="22" t="s">
        <v>39</v>
      </c>
      <c r="G15" s="22" t="s">
        <v>21</v>
      </c>
      <c r="H15" s="23" t="s">
        <v>40</v>
      </c>
      <c r="I15" s="5">
        <f t="shared" si="1"/>
        <v>12.079274999999996</v>
      </c>
      <c r="J15" s="5">
        <f t="shared" si="0"/>
        <v>26.553333333333327</v>
      </c>
      <c r="K15" s="25">
        <f>IF(ISBLANK(Distance),"",Open_time Control_1+(INT(Open)&amp;":"&amp;IF(ROUND(((Open-INT(Open))*60),0)&lt;10,0,"")&amp;ROUND(((Open-INT(Open))*60),0)))</f>
        <v>39228.75347222222</v>
      </c>
      <c r="L15" s="25">
        <f>IF(ISBLANK(Distance),"",Open_time Control_1+(INT(Close)&amp;":"&amp;IF(ROUND(((Close-INT(Close))*60),0)&lt;10,0,"")&amp;ROUND(((Close-INT(Close))*60),0)))</f>
        <v>39229.35625</v>
      </c>
    </row>
    <row r="16" spans="3:12" ht="12.75">
      <c r="C16" s="2" t="s">
        <v>41</v>
      </c>
      <c r="D16" s="20">
        <f>'VI0605A 060527'!A46</f>
        <v>498.9999999999999</v>
      </c>
      <c r="E16" s="21" t="s">
        <v>42</v>
      </c>
      <c r="F16" s="22" t="s">
        <v>43</v>
      </c>
      <c r="G16" s="22" t="s">
        <v>21</v>
      </c>
      <c r="H16" s="23" t="s">
        <v>44</v>
      </c>
      <c r="I16" s="5">
        <f t="shared" si="1"/>
        <v>15.432399999999998</v>
      </c>
      <c r="J16" s="5">
        <f t="shared" si="0"/>
        <v>33.26666666666666</v>
      </c>
      <c r="K16" s="25">
        <f>IF(ISBLANK(Distance),"",Open_time Control_1+(INT(Open)&amp;":"&amp;IF(ROUND(((Open-INT(Open))*60),0)&lt;10,0,"")&amp;ROUND(((Open-INT(Open))*60),0)))</f>
        <v>39228.893055555556</v>
      </c>
      <c r="L16" s="25">
        <f>IF(ISBLANK(Distance),"",Open_time Control_1+(INT(Close)&amp;":"&amp;IF(ROUND(((Close-INT(Close))*60),0)&lt;10,0,"")&amp;ROUND(((Close-INT(Close))*60),0)))</f>
        <v>39229.63611111111</v>
      </c>
    </row>
    <row r="17" spans="3:12" ht="12.75">
      <c r="C17" s="2" t="s">
        <v>45</v>
      </c>
      <c r="D17" s="20">
        <f>'VI0605A 060527'!F35</f>
        <v>610.5999999999998</v>
      </c>
      <c r="E17" s="21" t="s">
        <v>19</v>
      </c>
      <c r="F17" s="22" t="s">
        <v>20</v>
      </c>
      <c r="G17" s="22" t="s">
        <v>21</v>
      </c>
      <c r="H17" s="23" t="s">
        <v>22</v>
      </c>
      <c r="I17" s="5">
        <f t="shared" si="1"/>
        <v>19.177571428571422</v>
      </c>
      <c r="J17" s="5">
        <f t="shared" si="0"/>
        <v>40</v>
      </c>
      <c r="K17" s="25">
        <f>IF(ISBLANK(Distance),"",Open_time Control_1+(INT(Open)&amp;":"&amp;IF(ROUND(((Open-INT(Open))*60),0)&lt;10,0,"")&amp;ROUND(((Open-INT(Open))*60),0)))</f>
        <v>39229.049305555556</v>
      </c>
      <c r="L17" s="25">
        <f>IF(ISBLANK(Distance),"",Open_time Control_1+(INT(Close)&amp;":"&amp;IF(ROUND(((Close-INT(Close))*60),0)&lt;10,0,"")&amp;ROUND(((Close-INT(Close))*60),0)))</f>
        <v>39229.916666666664</v>
      </c>
    </row>
    <row r="18" spans="3:12" ht="12.75">
      <c r="C18" s="2" t="s">
        <v>46</v>
      </c>
      <c r="D18" s="20"/>
      <c r="E18" s="21" t="s">
        <v>47</v>
      </c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48</v>
      </c>
      <c r="D19" s="20"/>
      <c r="E19" s="21" t="s">
        <v>47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49</v>
      </c>
      <c r="D20" s="26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50</v>
      </c>
      <c r="D21" s="20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51</v>
      </c>
      <c r="D22" s="20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52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53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54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55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56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57</v>
      </c>
      <c r="D28" s="20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58</v>
      </c>
      <c r="D29" s="27"/>
      <c r="E29" s="28"/>
      <c r="F29" s="29"/>
      <c r="G29" s="29"/>
      <c r="H29" s="30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K1">
      <selection activeCell="L17" sqref="L17"/>
    </sheetView>
  </sheetViews>
  <sheetFormatPr defaultColWidth="9.140625" defaultRowHeight="12.75"/>
  <cols>
    <col min="1" max="1" width="9.28125" style="31" customWidth="1"/>
    <col min="2" max="3" width="12.57421875" style="0" customWidth="1"/>
    <col min="4" max="4" width="19.28125" style="0" customWidth="1"/>
    <col min="5" max="5" width="24.57421875" style="0" customWidth="1"/>
    <col min="6" max="6" width="42.7109375" style="0" customWidth="1"/>
    <col min="7" max="7" width="13.57421875" style="0" customWidth="1"/>
    <col min="8" max="8" width="7.00390625" style="32" customWidth="1"/>
    <col min="9" max="9" width="8.7109375" style="0" customWidth="1"/>
    <col min="10" max="16384" width="8.8515625" style="0" customWidth="1"/>
  </cols>
  <sheetData>
    <row r="1" spans="1:8" ht="19.5">
      <c r="A1" s="33" t="s">
        <v>59</v>
      </c>
      <c r="B1" s="33"/>
      <c r="C1" s="33"/>
      <c r="D1" s="33"/>
      <c r="E1" s="33"/>
      <c r="F1" s="33"/>
      <c r="G1" s="33"/>
      <c r="H1" s="11" t="s">
        <v>60</v>
      </c>
    </row>
    <row r="2" spans="1:14" ht="33.75" customHeight="1">
      <c r="A2" s="34" t="s">
        <v>61</v>
      </c>
      <c r="B2" s="35" t="s">
        <v>14</v>
      </c>
      <c r="C2" s="35" t="s">
        <v>15</v>
      </c>
      <c r="D2" s="35" t="s">
        <v>10</v>
      </c>
      <c r="E2" s="35" t="s">
        <v>62</v>
      </c>
      <c r="F2" s="35" t="s">
        <v>63</v>
      </c>
      <c r="G2" s="34" t="s">
        <v>64</v>
      </c>
      <c r="H2" s="11" t="s">
        <v>60</v>
      </c>
      <c r="N2" s="36"/>
    </row>
    <row r="3" spans="1:14" ht="36" customHeight="1">
      <c r="A3" s="37"/>
      <c r="B3" s="38">
        <f>Control_1 Open_time</f>
        <v>39228.25</v>
      </c>
      <c r="C3" s="38">
        <f>Control_1 Close_time</f>
        <v>39228.291666666664</v>
      </c>
      <c r="D3" s="39"/>
      <c r="E3" s="40">
        <f>IF(ISBLANK(Control_1 Establishment_1),"",Control_1 Establishment_1)</f>
        <v>0</v>
      </c>
      <c r="F3" s="41"/>
      <c r="G3" s="42"/>
      <c r="H3" s="11" t="s">
        <v>60</v>
      </c>
      <c r="K3" s="43"/>
      <c r="N3" s="36"/>
    </row>
    <row r="4" spans="1:14" ht="36" customHeight="1">
      <c r="A4" s="44">
        <f>IF(ISBLANK(Distance Control_1),"",Control_1 Distance)</f>
        <v>0</v>
      </c>
      <c r="B4" s="45">
        <f>Control_1 Open_time</f>
        <v>39228.25</v>
      </c>
      <c r="C4" s="45">
        <f>Control_1 Close_time</f>
        <v>39228.291666666664</v>
      </c>
      <c r="D4" s="46">
        <f>IF(ISBLANK(Locale Control_1),"",Locale Control_1)</f>
        <v>0</v>
      </c>
      <c r="E4" s="40">
        <f>IF(ISBLANK(Control_1 Establishment_2),"",Control_1 Establishment_2)</f>
        <v>0</v>
      </c>
      <c r="F4" s="41"/>
      <c r="G4" s="42"/>
      <c r="H4" s="11" t="s">
        <v>60</v>
      </c>
      <c r="K4" s="43"/>
      <c r="N4" s="36"/>
    </row>
    <row r="5" spans="1:11" ht="36" customHeight="1">
      <c r="A5" s="47"/>
      <c r="B5" s="48">
        <f>Control_1 Open_time</f>
        <v>39228.25</v>
      </c>
      <c r="C5" s="48">
        <f>Control_1 Close_time</f>
        <v>39228.291666666664</v>
      </c>
      <c r="D5" s="49"/>
      <c r="E5" s="50">
        <f>IF(ISBLANK(Control_1 Establishment_3),"",Control_1 Establishment_3)</f>
        <v>0</v>
      </c>
      <c r="F5" s="51"/>
      <c r="G5" s="52"/>
      <c r="H5" s="11" t="s">
        <v>60</v>
      </c>
      <c r="K5" s="43"/>
    </row>
    <row r="6" spans="1:11" ht="36" customHeight="1">
      <c r="A6" s="37"/>
      <c r="B6" s="38">
        <f>Control_2 Open_time</f>
        <v>39228.30902777778</v>
      </c>
      <c r="C6" s="38">
        <f>Control_2 Close_time</f>
        <v>39228.38333333333</v>
      </c>
      <c r="D6" s="53"/>
      <c r="E6" s="40">
        <f>IF(ISBLANK(Control_2 Establishment_1),"",Control_2 Establishment_1)</f>
        <v>0</v>
      </c>
      <c r="F6" s="41"/>
      <c r="G6" s="42"/>
      <c r="H6" s="11" t="s">
        <v>60</v>
      </c>
      <c r="K6" s="43"/>
    </row>
    <row r="7" spans="1:11" ht="36" customHeight="1">
      <c r="A7" s="44">
        <f>IF(ISBLANK(Distance Control_2),"",Control_2 Distance)</f>
        <v>48</v>
      </c>
      <c r="B7" s="45">
        <f>Control_2 Open_time</f>
        <v>39228.30902777778</v>
      </c>
      <c r="C7" s="45">
        <f>Control_2 Close_time</f>
        <v>39228.38333333333</v>
      </c>
      <c r="D7" s="46">
        <f>IF(ISBLANK(Locale Control_2),"",Locale Control_2)</f>
        <v>0</v>
      </c>
      <c r="E7" s="40">
        <f>IF(ISBLANK(Control_2 Establishment_2),"",Control_2 Establishment_2)</f>
        <v>0</v>
      </c>
      <c r="F7" s="41"/>
      <c r="G7" s="42"/>
      <c r="H7" s="11" t="s">
        <v>60</v>
      </c>
      <c r="K7" s="43"/>
    </row>
    <row r="8" spans="1:20" ht="36" customHeight="1">
      <c r="A8" s="47"/>
      <c r="B8" s="48">
        <f>Control_2 Open_time</f>
        <v>39228.30902777778</v>
      </c>
      <c r="C8" s="48">
        <f>Control_2 Close_time</f>
        <v>39228.38333333333</v>
      </c>
      <c r="D8" s="49"/>
      <c r="E8" s="50">
        <f>IF(ISBLANK(Control_2 Establishment_3),"",Control_2 Establishment_3)</f>
        <v>0</v>
      </c>
      <c r="F8" s="51"/>
      <c r="G8" s="52"/>
      <c r="H8" s="11" t="s">
        <v>60</v>
      </c>
      <c r="J8" s="54" t="s">
        <v>65</v>
      </c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19" ht="36" customHeight="1">
      <c r="A9" s="37"/>
      <c r="B9" s="38">
        <f>Control_3 Open_time</f>
        <v>39228.46111111111</v>
      </c>
      <c r="C9" s="38">
        <f>Control_3 Close_time</f>
        <v>39228.72777777778</v>
      </c>
      <c r="D9" s="53"/>
      <c r="E9" s="40">
        <f>IF(ISBLANK(Control_3 Establishment_1),"",Control_3 Establishment_1)</f>
        <v>0</v>
      </c>
      <c r="F9" s="41"/>
      <c r="G9" s="42"/>
      <c r="H9" s="11" t="s">
        <v>60</v>
      </c>
      <c r="J9" s="55">
        <f>IF(ISBLANK(brevet),"",brevet&amp;" km Randonnée")</f>
        <v>0</v>
      </c>
      <c r="K9" s="55"/>
      <c r="L9" s="55"/>
      <c r="M9" s="55"/>
      <c r="N9" s="55"/>
      <c r="O9" s="55"/>
      <c r="P9" s="55"/>
      <c r="Q9" s="55"/>
      <c r="R9" s="55"/>
      <c r="S9" s="55"/>
    </row>
    <row r="10" spans="1:20" ht="36" customHeight="1">
      <c r="A10" s="44">
        <f>IF(ISBLANK(Distance Control_3),"",Control_3 Distance)</f>
        <v>172</v>
      </c>
      <c r="B10" s="45">
        <f>Control_3 Open_time</f>
        <v>39228.46111111111</v>
      </c>
      <c r="C10" s="45">
        <f>Control_3 Close_time</f>
        <v>39228.72777777778</v>
      </c>
      <c r="D10" s="46">
        <f>IF(ISBLANK(Locale Control_3),"",Locale Control_3)</f>
        <v>0</v>
      </c>
      <c r="E10" s="40">
        <f>IF(ISBLANK(Control_3 Establishment_2),"",Control_3 Establishment_2)</f>
        <v>0</v>
      </c>
      <c r="F10" s="41"/>
      <c r="G10" s="42"/>
      <c r="H10" s="11" t="s">
        <v>60</v>
      </c>
      <c r="J10" s="56">
        <f>IF(ISBLANK(Brevet_Description),"",Brevet_Description)</f>
        <v>0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36" customHeight="1">
      <c r="A11" s="47"/>
      <c r="B11" s="48">
        <f>Control_3 Open_time</f>
        <v>39228.46111111111</v>
      </c>
      <c r="C11" s="48">
        <f>Control_3 Close_time</f>
        <v>39228.72777777778</v>
      </c>
      <c r="D11" s="49"/>
      <c r="E11" s="50">
        <f>IF(ISBLANK(Control_3 Establishment_3),"",Control_3 Establishment_3)</f>
        <v>0</v>
      </c>
      <c r="F11" s="51"/>
      <c r="G11" s="52"/>
      <c r="H11" s="11" t="s">
        <v>60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36" customHeight="1">
      <c r="A12" s="37"/>
      <c r="B12" s="38">
        <f>Control_4 Open_time</f>
        <v>39228.62013888889</v>
      </c>
      <c r="C12" s="38">
        <f>Control_4 Close_time</f>
        <v>39229.072222222225</v>
      </c>
      <c r="D12" s="53"/>
      <c r="E12" s="40">
        <f>IF(ISBLANK(Control_4 Establishment_1),"",Control_4 Establishment_1)</f>
        <v>0</v>
      </c>
      <c r="F12" s="41"/>
      <c r="G12" s="42"/>
      <c r="H12" s="11" t="s">
        <v>60</v>
      </c>
      <c r="J12" s="58" t="s">
        <v>66</v>
      </c>
      <c r="L12" s="59" t="str">
        <f>IF(ISBLANK(surname),"",First_Name&amp;" "&amp;Initial&amp;" "&amp;surname)</f>
        <v>Graham  Fishlock</v>
      </c>
      <c r="M12" s="60"/>
      <c r="N12" s="60"/>
      <c r="O12" s="60"/>
      <c r="P12" s="60"/>
      <c r="Q12" s="60"/>
      <c r="R12" s="60"/>
      <c r="S12" s="60"/>
      <c r="T12" s="61"/>
    </row>
    <row r="13" spans="1:20" ht="36" customHeight="1">
      <c r="A13" s="44">
        <f>IF(ISBLANK(Distance Control_4),"",Control_4 Distance)</f>
        <v>295.99999999999994</v>
      </c>
      <c r="B13" s="45">
        <f>Control_4 Open_time</f>
        <v>39228.62013888889</v>
      </c>
      <c r="C13" s="45">
        <f>Control_4 Close_time</f>
        <v>39229.072222222225</v>
      </c>
      <c r="D13" s="46">
        <f>IF(ISBLANK(Locale Control_4),"",Locale Control_4)</f>
        <v>0</v>
      </c>
      <c r="E13" s="40">
        <f>IF(ISBLANK(Control_4 Establishment_2),"",Control_4 Establishment_2)</f>
        <v>0</v>
      </c>
      <c r="F13" s="41"/>
      <c r="G13" s="42"/>
      <c r="H13" s="11" t="s">
        <v>60</v>
      </c>
      <c r="J13" s="58" t="s">
        <v>67</v>
      </c>
      <c r="K13" s="58"/>
      <c r="L13" s="62" t="str">
        <f>IF(ISBLANK(Address_1),"",Address_1)</f>
        <v>13100 Prospect Drive</v>
      </c>
      <c r="M13" s="63"/>
      <c r="N13" s="63"/>
      <c r="O13" s="63"/>
      <c r="P13" s="63"/>
      <c r="Q13" s="63"/>
      <c r="R13" s="63"/>
      <c r="S13" s="63"/>
      <c r="T13" s="64"/>
    </row>
    <row r="14" spans="1:20" ht="36" customHeight="1">
      <c r="A14" s="47"/>
      <c r="B14" s="48">
        <f>Control_4 Open_time</f>
        <v>39228.62013888889</v>
      </c>
      <c r="C14" s="48">
        <f>Control_4 Close_time</f>
        <v>39229.072222222225</v>
      </c>
      <c r="D14" s="49"/>
      <c r="E14" s="50">
        <f>IF(ISBLANK(Control_4 Establishment_3),"",Control_4 Establishment_3)</f>
        <v>0</v>
      </c>
      <c r="F14" s="51"/>
      <c r="G14" s="52"/>
      <c r="H14" s="11" t="s">
        <v>60</v>
      </c>
      <c r="J14" s="58"/>
      <c r="K14" s="58"/>
      <c r="L14" s="62">
        <f>IF(ISBLANK(Address_2),"",Address_2)</f>
      </c>
      <c r="M14" s="63"/>
      <c r="N14" s="63"/>
      <c r="O14" s="63"/>
      <c r="P14" s="63"/>
      <c r="Q14" s="63"/>
      <c r="R14" s="63"/>
      <c r="S14" s="63"/>
      <c r="T14" s="64"/>
    </row>
    <row r="15" spans="1:20" ht="36" customHeight="1">
      <c r="A15" s="37"/>
      <c r="B15" s="38">
        <f>Control_5 Open_time</f>
        <v>39228.709027777775</v>
      </c>
      <c r="C15" s="38">
        <f>Control_5 Close_time</f>
        <v>39229.26180555556</v>
      </c>
      <c r="D15" s="53"/>
      <c r="E15" s="40">
        <f>IF(ISBLANK(Control_5 Establishment_1),"",Control_5 Establishment_1)</f>
        <v>0</v>
      </c>
      <c r="F15" s="41"/>
      <c r="G15" s="42"/>
      <c r="H15" s="11" t="s">
        <v>60</v>
      </c>
      <c r="J15" s="58" t="s">
        <v>68</v>
      </c>
      <c r="K15" s="58"/>
      <c r="L15" s="62" t="str">
        <f>IF(ISBLANK(City),"",City)</f>
        <v>Ladysmith</v>
      </c>
      <c r="M15" s="63"/>
      <c r="N15" s="63"/>
      <c r="O15" s="65"/>
      <c r="P15" s="65" t="s">
        <v>69</v>
      </c>
      <c r="Q15" s="65"/>
      <c r="R15" s="65"/>
      <c r="S15" s="62" t="str">
        <f>IF(ISBLANK(Province_State),"",Province_State)</f>
        <v>BC</v>
      </c>
      <c r="T15" s="64"/>
    </row>
    <row r="16" spans="1:20" ht="36" customHeight="1">
      <c r="A16" s="44">
        <f>IF(ISBLANK(Distance Control_5),"",Control_5 Distance)</f>
        <v>364.19999999999993</v>
      </c>
      <c r="B16" s="45">
        <f>Control_5 Open_time</f>
        <v>39228.709027777775</v>
      </c>
      <c r="C16" s="45">
        <f>Control_5 Close_time</f>
        <v>39229.26180555556</v>
      </c>
      <c r="D16" s="46">
        <f>IF(ISBLANK(Locale Control_5),"",Locale Control_5)</f>
        <v>0</v>
      </c>
      <c r="E16" s="40">
        <f>IF(ISBLANK(Control_5 Establishment_2),"",Control_5 Establishment_2)</f>
        <v>0</v>
      </c>
      <c r="F16" s="41"/>
      <c r="G16" s="42"/>
      <c r="H16" s="11" t="s">
        <v>60</v>
      </c>
      <c r="J16" s="58" t="s">
        <v>70</v>
      </c>
      <c r="K16" s="58"/>
      <c r="L16" s="62" t="str">
        <f>IF(ISBLANK(Country),"",Country)</f>
        <v>Canada</v>
      </c>
      <c r="M16" s="63"/>
      <c r="N16" s="63"/>
      <c r="O16" s="65"/>
      <c r="P16" s="65" t="s">
        <v>71</v>
      </c>
      <c r="Q16" s="65"/>
      <c r="R16" s="65"/>
      <c r="S16" s="66" t="str">
        <f>IF(ISBLANK(Postal_Code),"",Postal_Code)</f>
        <v>V9G 1G9</v>
      </c>
      <c r="T16" s="66"/>
    </row>
    <row r="17" spans="1:19" ht="36" customHeight="1">
      <c r="A17" s="47"/>
      <c r="B17" s="48">
        <f>Control_5 Open_time</f>
        <v>39228.709027777775</v>
      </c>
      <c r="C17" s="48">
        <f>Control_5 Close_time</f>
        <v>39229.26180555556</v>
      </c>
      <c r="D17" s="49"/>
      <c r="E17" s="50">
        <f>IF(ISBLANK(Control_5 Establishment_3),"",Control_5 Establishment_3)</f>
        <v>0</v>
      </c>
      <c r="F17" s="51"/>
      <c r="G17" s="52"/>
      <c r="H17" s="11" t="s">
        <v>60</v>
      </c>
      <c r="L17" s="67"/>
      <c r="M17" s="67"/>
      <c r="N17" s="67"/>
      <c r="O17" s="67"/>
      <c r="P17" s="67"/>
      <c r="Q17" s="67"/>
      <c r="R17" s="67"/>
      <c r="S17" s="67"/>
    </row>
    <row r="18" spans="1:20" ht="36" customHeight="1">
      <c r="A18" s="37"/>
      <c r="B18" s="38">
        <f>Control_6 Open_time</f>
        <v>39228.75347222222</v>
      </c>
      <c r="C18" s="38">
        <f>Control_6 Close_time</f>
        <v>39229.35625</v>
      </c>
      <c r="D18" s="53"/>
      <c r="E18" s="40">
        <f>IF(ISBLANK(Control_6 Establishment_1),"",Control_6 Establishment_1)</f>
        <v>0</v>
      </c>
      <c r="F18" s="41"/>
      <c r="G18" s="42"/>
      <c r="H18" s="11" t="s">
        <v>60</v>
      </c>
      <c r="J18" s="58" t="s">
        <v>72</v>
      </c>
      <c r="L18" s="68" t="str">
        <f>IF(ISBLANK(Home_telephone),"",Home_telephone)</f>
        <v>250 245-4906       </v>
      </c>
      <c r="M18" s="68"/>
      <c r="N18" s="68"/>
      <c r="O18" s="67"/>
      <c r="P18" s="65" t="s">
        <v>73</v>
      </c>
      <c r="Q18" s="69" t="str">
        <f>IF(ISBLANK(email),"",email)</f>
        <v>barnswallow@telus.net</v>
      </c>
      <c r="R18" s="70"/>
      <c r="S18" s="70"/>
      <c r="T18" s="71"/>
    </row>
    <row r="19" spans="1:19" ht="36" customHeight="1">
      <c r="A19" s="44">
        <f>IF(ISBLANK(Distance Control_6),"",Control_6 Distance)</f>
        <v>398.2999999999999</v>
      </c>
      <c r="B19" s="45">
        <f>Control_6 Open_time</f>
        <v>39228.75347222222</v>
      </c>
      <c r="C19" s="45">
        <f>Control_6 Close_time</f>
        <v>39229.35625</v>
      </c>
      <c r="D19" s="46">
        <f>IF(ISBLANK(Locale Control_6),"",Locale Control_6)</f>
        <v>0</v>
      </c>
      <c r="E19" s="40">
        <f>IF(ISBLANK(Control_6 Establishment_2),"",Control_6 Establishment_2)</f>
        <v>0</v>
      </c>
      <c r="F19" s="41"/>
      <c r="G19" s="42"/>
      <c r="H19" s="11" t="s">
        <v>60</v>
      </c>
      <c r="L19" s="67"/>
      <c r="M19" s="67"/>
      <c r="N19" s="67"/>
      <c r="O19" s="67"/>
      <c r="P19" s="67"/>
      <c r="Q19" s="67"/>
      <c r="R19" s="67"/>
      <c r="S19" s="67"/>
    </row>
    <row r="20" spans="1:20" ht="36" customHeight="1">
      <c r="A20" s="47"/>
      <c r="B20" s="48">
        <f>Control_6 Open_time</f>
        <v>39228.75347222222</v>
      </c>
      <c r="C20" s="48">
        <f>Control_6 Close_time</f>
        <v>39229.35625</v>
      </c>
      <c r="D20" s="49"/>
      <c r="E20" s="50">
        <f>IF(ISBLANK(Control_6 Establishment_3),"",Control_6 Establishment_3)</f>
        <v>0</v>
      </c>
      <c r="F20" s="51"/>
      <c r="G20" s="52"/>
      <c r="H20" s="11" t="s">
        <v>60</v>
      </c>
      <c r="J20" s="72" t="s">
        <v>74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1" spans="1:20" ht="36" customHeight="1">
      <c r="A21" s="37"/>
      <c r="B21" s="38">
        <f>Control_7 Open_time</f>
        <v>39228.893055555556</v>
      </c>
      <c r="C21" s="38">
        <f>Control_7 Close_time</f>
        <v>39229.63611111111</v>
      </c>
      <c r="D21" s="53"/>
      <c r="E21" s="40">
        <f>IF(ISBLANK(Control_7 Establishment_1),"",Control_7 Establishment_1)</f>
        <v>0</v>
      </c>
      <c r="F21" s="41"/>
      <c r="G21" s="42"/>
      <c r="H21" s="11" t="s">
        <v>60</v>
      </c>
      <c r="J21" s="72" t="s">
        <v>75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19" ht="36" customHeight="1">
      <c r="A22" s="44">
        <f>IF(ISBLANK(Distance Control_7),"",Control_7 Distance)</f>
        <v>498.9999999999999</v>
      </c>
      <c r="B22" s="45">
        <f>Control_7 Open_time</f>
        <v>39228.893055555556</v>
      </c>
      <c r="C22" s="45">
        <f>Control_7 Close_time</f>
        <v>39229.63611111111</v>
      </c>
      <c r="D22" s="46">
        <f>IF(ISBLANK(Locale Control_7),"",Locale Control_7)</f>
        <v>0</v>
      </c>
      <c r="E22" s="40">
        <f>IF(ISBLANK(Control_7 Establishment_2),"",Control_7 Establishment_2)</f>
        <v>0</v>
      </c>
      <c r="F22" s="41"/>
      <c r="G22" s="42"/>
      <c r="H22" s="11" t="s">
        <v>60</v>
      </c>
      <c r="L22" s="67"/>
      <c r="M22" s="67"/>
      <c r="N22" s="67"/>
      <c r="O22" s="67"/>
      <c r="P22" s="67"/>
      <c r="Q22" s="67"/>
      <c r="R22" s="67"/>
      <c r="S22" s="67"/>
    </row>
    <row r="23" spans="1:20" ht="36" customHeight="1">
      <c r="A23" s="47"/>
      <c r="B23" s="48">
        <f>Control_7 Open_time</f>
        <v>39228.893055555556</v>
      </c>
      <c r="C23" s="48">
        <f>Control_7 Close_time</f>
        <v>39229.63611111111</v>
      </c>
      <c r="D23" s="49"/>
      <c r="E23" s="50">
        <f>IF(ISBLANK(Control_7 Establishment_3),"",Control_7 Establishment_3)</f>
        <v>0</v>
      </c>
      <c r="F23" s="51"/>
      <c r="G23" s="52"/>
      <c r="H23" s="11" t="s">
        <v>60</v>
      </c>
      <c r="J23" s="73" t="s">
        <v>76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36" customHeight="1">
      <c r="A24" s="37"/>
      <c r="B24" s="38">
        <f>Control_8 Open_time</f>
        <v>39229.049305555556</v>
      </c>
      <c r="C24" s="38">
        <f>Control_8 Close_time</f>
        <v>39229.916666666664</v>
      </c>
      <c r="D24" s="53"/>
      <c r="E24" s="40">
        <f>IF(ISBLANK(Control_8 Establishment_1),"",Control_8 Establishment_1)</f>
        <v>0</v>
      </c>
      <c r="F24" s="41"/>
      <c r="G24" s="42"/>
      <c r="H24" s="11" t="s">
        <v>60</v>
      </c>
      <c r="J24" s="58" t="s">
        <v>77</v>
      </c>
      <c r="K24" s="74">
        <f>IF(ISBLANK(Start_date),"",Start_date)</f>
        <v>39228</v>
      </c>
      <c r="L24" s="74"/>
      <c r="M24" s="74"/>
      <c r="N24" s="67"/>
      <c r="O24" s="65" t="s">
        <v>78</v>
      </c>
      <c r="P24" s="67"/>
      <c r="Q24" s="70"/>
      <c r="R24" s="70"/>
      <c r="S24" s="70"/>
      <c r="T24" s="75"/>
    </row>
    <row r="25" spans="1:20" ht="36" customHeight="1">
      <c r="A25" s="44">
        <f>IF(ISBLANK(Distance Control_8),"",Control_8 Distance)</f>
        <v>610.5999999999998</v>
      </c>
      <c r="B25" s="45">
        <f>Control_8 Open_time</f>
        <v>39229.049305555556</v>
      </c>
      <c r="C25" s="45">
        <f>Control_8 Close_time</f>
        <v>39229.916666666664</v>
      </c>
      <c r="D25" s="46">
        <f>IF(ISBLANK(Locale Control_8),"",Locale Control_8)</f>
        <v>0</v>
      </c>
      <c r="E25" s="40">
        <f>IF(ISBLANK(Control_8 Establishment_2),"",Control_8 Establishment_2)</f>
        <v>0</v>
      </c>
      <c r="F25" s="41"/>
      <c r="G25" s="42"/>
      <c r="H25" s="11" t="s">
        <v>60</v>
      </c>
      <c r="L25" s="67"/>
      <c r="M25" s="67"/>
      <c r="N25" s="67"/>
      <c r="O25" s="65" t="s">
        <v>79</v>
      </c>
      <c r="P25" s="67"/>
      <c r="Q25" s="70"/>
      <c r="R25" s="70"/>
      <c r="S25" s="70"/>
      <c r="T25" s="75"/>
    </row>
    <row r="26" spans="1:20" ht="36" customHeight="1">
      <c r="A26" s="47"/>
      <c r="B26" s="48">
        <f>Control_8 Open_time</f>
        <v>39229.049305555556</v>
      </c>
      <c r="C26" s="48">
        <f>Control_8 Close_time</f>
        <v>39229.916666666664</v>
      </c>
      <c r="D26" s="49"/>
      <c r="E26" s="50">
        <f>IF(ISBLANK(Control_8 Establishment_3),"",Control_8 Establishment_3)</f>
        <v>0</v>
      </c>
      <c r="F26" s="51"/>
      <c r="G26" s="52"/>
      <c r="H26" s="11" t="s">
        <v>60</v>
      </c>
      <c r="J26" s="75"/>
      <c r="K26" s="75"/>
      <c r="L26" s="70"/>
      <c r="M26" s="70"/>
      <c r="N26" s="67"/>
      <c r="O26" s="65" t="s">
        <v>80</v>
      </c>
      <c r="P26" s="67"/>
      <c r="Q26" s="70"/>
      <c r="R26" s="70"/>
      <c r="S26" s="70"/>
      <c r="T26" s="75"/>
    </row>
    <row r="27" spans="1:19" ht="36" customHeight="1">
      <c r="A27" s="37"/>
      <c r="B27" s="38">
        <f>Control_9 Open_time</f>
        <v>0</v>
      </c>
      <c r="C27" s="38">
        <f>Control_9 Close_time</f>
        <v>0</v>
      </c>
      <c r="D27" s="53"/>
      <c r="E27" s="40">
        <f>IF(ISBLANK(Control_9 Establishment_1),"",Control_9 Establishment_1)</f>
        <v>0</v>
      </c>
      <c r="F27" s="41"/>
      <c r="G27" s="42"/>
      <c r="H27" s="11" t="s">
        <v>60</v>
      </c>
      <c r="J27" s="76" t="s">
        <v>81</v>
      </c>
      <c r="K27" s="76"/>
      <c r="L27" s="76"/>
      <c r="M27" s="76"/>
      <c r="N27" s="67"/>
      <c r="O27" s="67"/>
      <c r="P27" s="67"/>
      <c r="Q27" s="67"/>
      <c r="R27" s="67"/>
      <c r="S27" s="67"/>
    </row>
    <row r="28" spans="1:19" ht="36" customHeight="1">
      <c r="A28" s="44">
        <f>IF(ISBLANK(Distance Control_9),"",Control_9 Distance)</f>
      </c>
      <c r="B28" s="45">
        <f>Control_9 Open_time</f>
        <v>0</v>
      </c>
      <c r="C28" s="45">
        <f>Control_9 Close_time</f>
        <v>0</v>
      </c>
      <c r="D28" s="46">
        <f>IF(ISBLANK(Locale Control_9),"",Locale Control_9)</f>
        <v>0</v>
      </c>
      <c r="E28" s="40">
        <f>IF(ISBLANK(Control_9 Establishment_2),"",Control_9 Establishment_2)</f>
        <v>0</v>
      </c>
      <c r="F28" s="41"/>
      <c r="G28" s="42"/>
      <c r="H28" s="11" t="s">
        <v>60</v>
      </c>
      <c r="L28" s="77" t="s">
        <v>82</v>
      </c>
      <c r="M28" s="77"/>
      <c r="N28" s="77"/>
      <c r="O28" s="77"/>
      <c r="P28" s="77"/>
      <c r="Q28" s="77"/>
      <c r="R28" s="67"/>
      <c r="S28" s="67"/>
    </row>
    <row r="29" spans="1:20" ht="36" customHeight="1">
      <c r="A29" s="47"/>
      <c r="B29" s="48">
        <f>Control_9 Open_time</f>
        <v>0</v>
      </c>
      <c r="C29" s="48">
        <f>Control_9 Close_time</f>
        <v>0</v>
      </c>
      <c r="D29" s="49"/>
      <c r="E29" s="50">
        <f>IF(ISBLANK(Control_9 Establishment_3),"",Control_9 Establishment_3)</f>
        <v>0</v>
      </c>
      <c r="F29" s="51"/>
      <c r="G29" s="52"/>
      <c r="H29" s="11" t="s">
        <v>60</v>
      </c>
      <c r="K29" s="78"/>
      <c r="L29" s="79"/>
      <c r="M29" s="79"/>
      <c r="N29" s="80"/>
      <c r="O29" s="81"/>
      <c r="P29" s="79"/>
      <c r="Q29" s="79"/>
      <c r="R29" s="80"/>
      <c r="S29" s="82" t="s">
        <v>83</v>
      </c>
      <c r="T29" s="83" t="s">
        <v>84</v>
      </c>
    </row>
    <row r="30" spans="1:19" ht="36" customHeight="1">
      <c r="A30" s="37"/>
      <c r="B30" s="38">
        <f>Control_10 Open_time</f>
        <v>0</v>
      </c>
      <c r="C30" s="38">
        <f>Control_10 Close_time</f>
        <v>0</v>
      </c>
      <c r="D30" s="53"/>
      <c r="E30" s="40">
        <f>IF(ISBLANK(Control_10 Establishment_1),"",Control_10 Establishment_1)</f>
        <v>0</v>
      </c>
      <c r="F30" s="41"/>
      <c r="G30" s="42"/>
      <c r="H30" s="11" t="s">
        <v>60</v>
      </c>
      <c r="K30" s="84"/>
      <c r="L30" s="85"/>
      <c r="M30" s="85"/>
      <c r="N30" s="86"/>
      <c r="O30" s="87"/>
      <c r="P30" s="85"/>
      <c r="Q30" s="85"/>
      <c r="R30" s="86"/>
      <c r="S30" s="88" t="s">
        <v>85</v>
      </c>
    </row>
    <row r="31" spans="1:21" ht="36" customHeight="1">
      <c r="A31" s="44">
        <f>IF(ISBLANK(Distance Control_10),"",Control_10 Distance)</f>
      </c>
      <c r="B31" s="45">
        <f>Control_10 Open_time</f>
        <v>0</v>
      </c>
      <c r="C31" s="45">
        <f>Control_10 Close_time</f>
        <v>0</v>
      </c>
      <c r="D31" s="46">
        <f>IF(ISBLANK(Locale Control_10),"",Locale Control_10)</f>
        <v>0</v>
      </c>
      <c r="E31" s="40">
        <f>IF(ISBLANK(Control_10 Establishment_2),"",Control_10 Establishment_2)</f>
        <v>0</v>
      </c>
      <c r="F31" s="41"/>
      <c r="G31" s="42"/>
      <c r="H31" s="11" t="s">
        <v>60</v>
      </c>
      <c r="K31" s="89"/>
      <c r="L31" s="70"/>
      <c r="M31" s="70"/>
      <c r="N31" s="90"/>
      <c r="O31" s="91"/>
      <c r="P31" s="70"/>
      <c r="Q31" s="70"/>
      <c r="R31" s="90"/>
      <c r="S31" s="67"/>
      <c r="U31" s="92"/>
    </row>
    <row r="32" spans="1:21" ht="36" customHeight="1">
      <c r="A32" s="47"/>
      <c r="B32" s="48">
        <f>Control_10 Open_time</f>
        <v>0</v>
      </c>
      <c r="C32" s="48">
        <f>Control_10 Close_time</f>
        <v>0</v>
      </c>
      <c r="D32" s="49"/>
      <c r="E32" s="50">
        <f>IF(ISBLANK(Control_10 Establishment_3),"",Control_10 Establishment_3)</f>
        <v>0</v>
      </c>
      <c r="F32" s="51"/>
      <c r="G32" s="52"/>
      <c r="H32" s="11" t="s">
        <v>60</v>
      </c>
      <c r="L32" s="65" t="s">
        <v>86</v>
      </c>
      <c r="M32" s="67"/>
      <c r="N32" s="63" t="str">
        <f>IF(ISBLANK(Brevet_Number),"",Brevet_Number)</f>
        <v>VI0605A</v>
      </c>
      <c r="O32" s="63"/>
      <c r="P32" s="63"/>
      <c r="Q32" s="67"/>
      <c r="R32" s="67"/>
      <c r="S32" s="67"/>
      <c r="U32" s="92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2">
    <mergeCell ref="A1:G1"/>
    <mergeCell ref="J8:T8"/>
    <mergeCell ref="J9:S9"/>
    <mergeCell ref="J10:T10"/>
    <mergeCell ref="S16:T16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57421875" style="0" customWidth="1"/>
    <col min="13" max="13" width="13.28125" style="0" customWidth="1"/>
    <col min="14" max="14" width="34.140625" style="0" customWidth="1"/>
    <col min="15" max="16" width="9.57421875" style="0" customWidth="1"/>
    <col min="18" max="16384" width="8.8515625" style="0" customWidth="1"/>
  </cols>
  <sheetData>
    <row r="1" spans="1:18" ht="24.75">
      <c r="A1" s="93"/>
      <c r="B1" s="94" t="s">
        <v>87</v>
      </c>
      <c r="C1" s="94" t="s">
        <v>88</v>
      </c>
      <c r="D1" s="94" t="s">
        <v>89</v>
      </c>
      <c r="E1" s="94" t="s">
        <v>90</v>
      </c>
      <c r="F1" s="94" t="s">
        <v>91</v>
      </c>
      <c r="G1" s="94" t="s">
        <v>68</v>
      </c>
      <c r="H1" s="95" t="s">
        <v>69</v>
      </c>
      <c r="I1" s="94" t="s">
        <v>70</v>
      </c>
      <c r="J1" s="94" t="s">
        <v>71</v>
      </c>
      <c r="K1" s="96" t="s">
        <v>92</v>
      </c>
      <c r="L1" s="96" t="s">
        <v>93</v>
      </c>
      <c r="M1" s="97" t="s">
        <v>94</v>
      </c>
      <c r="N1" s="98" t="s">
        <v>73</v>
      </c>
      <c r="O1" s="99" t="s">
        <v>95</v>
      </c>
      <c r="P1" s="99" t="s">
        <v>96</v>
      </c>
      <c r="Q1" s="99" t="s">
        <v>97</v>
      </c>
      <c r="R1" s="99" t="s">
        <v>98</v>
      </c>
    </row>
    <row r="2" spans="1:18" ht="12.75">
      <c r="A2" s="100">
        <v>1</v>
      </c>
      <c r="B2" s="101" t="s">
        <v>99</v>
      </c>
      <c r="C2" s="101" t="s">
        <v>100</v>
      </c>
      <c r="D2" s="101"/>
      <c r="E2" s="100" t="s">
        <v>101</v>
      </c>
      <c r="F2" s="101"/>
      <c r="G2" s="102" t="s">
        <v>102</v>
      </c>
      <c r="H2" s="101" t="s">
        <v>103</v>
      </c>
      <c r="I2" s="101" t="s">
        <v>104</v>
      </c>
      <c r="J2" t="s">
        <v>105</v>
      </c>
      <c r="K2" s="103" t="s">
        <v>106</v>
      </c>
      <c r="L2" s="103"/>
      <c r="M2" s="103"/>
      <c r="N2" s="104" t="s">
        <v>107</v>
      </c>
      <c r="O2" s="105"/>
      <c r="P2" s="106"/>
      <c r="Q2" s="105"/>
      <c r="R2" s="105"/>
    </row>
    <row r="3" spans="1:18" ht="12.75">
      <c r="A3">
        <v>24</v>
      </c>
      <c r="B3" s="101" t="s">
        <v>108</v>
      </c>
      <c r="C3" s="101" t="s">
        <v>109</v>
      </c>
      <c r="D3" s="101"/>
      <c r="E3" s="107" t="s">
        <v>110</v>
      </c>
      <c r="F3" s="101"/>
      <c r="G3" s="101" t="s">
        <v>111</v>
      </c>
      <c r="H3" s="101" t="s">
        <v>103</v>
      </c>
      <c r="I3" s="101" t="s">
        <v>104</v>
      </c>
      <c r="J3" s="100" t="s">
        <v>112</v>
      </c>
      <c r="K3" s="103" t="s">
        <v>113</v>
      </c>
      <c r="L3" s="103"/>
      <c r="M3" s="103"/>
      <c r="N3" s="108" t="s">
        <v>114</v>
      </c>
      <c r="O3" s="105"/>
      <c r="P3" s="105"/>
      <c r="Q3" s="105"/>
      <c r="R3" s="105"/>
    </row>
    <row r="4" spans="1:18" ht="12.75">
      <c r="A4" s="100">
        <v>25</v>
      </c>
      <c r="B4" s="101" t="s">
        <v>115</v>
      </c>
      <c r="C4" s="101" t="s">
        <v>116</v>
      </c>
      <c r="D4" s="101"/>
      <c r="E4" s="101" t="s">
        <v>117</v>
      </c>
      <c r="F4" s="101"/>
      <c r="G4" s="101" t="s">
        <v>118</v>
      </c>
      <c r="H4" s="101" t="s">
        <v>103</v>
      </c>
      <c r="I4" s="101" t="s">
        <v>104</v>
      </c>
      <c r="J4" s="101" t="s">
        <v>119</v>
      </c>
      <c r="K4" s="103" t="s">
        <v>120</v>
      </c>
      <c r="L4" s="103"/>
      <c r="M4" s="103"/>
      <c r="N4" s="108"/>
      <c r="O4" s="105"/>
      <c r="P4" s="105"/>
      <c r="Q4" s="105"/>
      <c r="R4" s="105"/>
    </row>
    <row r="5" spans="1:18" ht="12.75">
      <c r="A5" s="100">
        <v>26</v>
      </c>
      <c r="B5" s="101" t="s">
        <v>121</v>
      </c>
      <c r="C5" s="101" t="s">
        <v>122</v>
      </c>
      <c r="D5" s="101" t="s">
        <v>123</v>
      </c>
      <c r="E5" s="100" t="s">
        <v>124</v>
      </c>
      <c r="F5" s="102"/>
      <c r="G5" s="101" t="s">
        <v>125</v>
      </c>
      <c r="H5" s="101" t="s">
        <v>126</v>
      </c>
      <c r="I5" s="101" t="s">
        <v>127</v>
      </c>
      <c r="J5" s="109">
        <v>97302</v>
      </c>
      <c r="K5" s="110" t="s">
        <v>128</v>
      </c>
      <c r="L5" s="103"/>
      <c r="M5" s="103"/>
      <c r="N5" s="101" t="s">
        <v>129</v>
      </c>
      <c r="O5" s="105"/>
      <c r="P5" s="111"/>
      <c r="Q5" s="105"/>
      <c r="R5" s="105"/>
    </row>
    <row r="6" spans="1:18" ht="12.75">
      <c r="A6" s="100">
        <v>27</v>
      </c>
      <c r="B6" s="112" t="s">
        <v>130</v>
      </c>
      <c r="C6" s="112" t="s">
        <v>131</v>
      </c>
      <c r="D6" s="112"/>
      <c r="E6" s="113" t="s">
        <v>132</v>
      </c>
      <c r="F6" s="112">
        <f>IF(ISBLANK(F7),"",F7)</f>
      </c>
      <c r="G6" s="112" t="s">
        <v>111</v>
      </c>
      <c r="H6" s="112" t="s">
        <v>103</v>
      </c>
      <c r="I6" s="112" t="s">
        <v>104</v>
      </c>
      <c r="J6" s="114" t="s">
        <v>133</v>
      </c>
      <c r="K6" s="115" t="s">
        <v>134</v>
      </c>
      <c r="L6" s="115">
        <f>IF(ISBLANK(L7),"",L7)</f>
      </c>
      <c r="M6" s="115">
        <f>IF(ISBLANK(M7),"",M7)</f>
      </c>
      <c r="N6" s="116" t="s">
        <v>135</v>
      </c>
      <c r="O6" s="117"/>
      <c r="P6" s="117"/>
      <c r="Q6" s="117"/>
      <c r="R6" s="117"/>
    </row>
    <row r="7" spans="1:18" ht="12.75">
      <c r="A7" s="100">
        <v>28</v>
      </c>
      <c r="B7" s="101" t="s">
        <v>136</v>
      </c>
      <c r="C7" s="101" t="s">
        <v>137</v>
      </c>
      <c r="D7" s="101"/>
      <c r="E7" s="107" t="s">
        <v>138</v>
      </c>
      <c r="F7" s="118"/>
      <c r="G7" s="102" t="s">
        <v>139</v>
      </c>
      <c r="H7" s="101" t="s">
        <v>140</v>
      </c>
      <c r="I7" s="101" t="s">
        <v>127</v>
      </c>
      <c r="J7" s="118"/>
      <c r="K7" s="103" t="s">
        <v>141</v>
      </c>
      <c r="L7" s="103"/>
      <c r="M7" s="103"/>
      <c r="N7" s="102" t="s">
        <v>142</v>
      </c>
      <c r="O7" s="105"/>
      <c r="P7" s="111"/>
      <c r="Q7" s="105"/>
      <c r="R7" s="105"/>
    </row>
    <row r="8" spans="1:18" ht="12.75">
      <c r="A8" s="100">
        <v>29</v>
      </c>
      <c r="B8" s="101" t="s">
        <v>143</v>
      </c>
      <c r="C8" s="101" t="s">
        <v>144</v>
      </c>
      <c r="D8" s="101" t="s">
        <v>145</v>
      </c>
      <c r="E8" s="101" t="s">
        <v>146</v>
      </c>
      <c r="F8" s="101"/>
      <c r="G8" s="101" t="s">
        <v>147</v>
      </c>
      <c r="H8" s="101" t="s">
        <v>103</v>
      </c>
      <c r="I8" s="101" t="s">
        <v>104</v>
      </c>
      <c r="J8" s="101" t="s">
        <v>148</v>
      </c>
      <c r="K8" s="103" t="s">
        <v>149</v>
      </c>
      <c r="L8" s="103"/>
      <c r="M8" s="103"/>
      <c r="N8" s="101" t="s">
        <v>150</v>
      </c>
      <c r="O8" s="105"/>
      <c r="P8" s="105"/>
      <c r="Q8" s="105"/>
      <c r="R8" s="105"/>
    </row>
    <row r="9" spans="1:18" ht="12.75">
      <c r="A9" s="100">
        <v>30</v>
      </c>
      <c r="B9" s="101" t="s">
        <v>151</v>
      </c>
      <c r="C9" s="101" t="s">
        <v>152</v>
      </c>
      <c r="D9" s="101"/>
      <c r="E9" s="102" t="s">
        <v>110</v>
      </c>
      <c r="F9" s="101"/>
      <c r="G9" s="101" t="s">
        <v>111</v>
      </c>
      <c r="H9" s="101" t="s">
        <v>103</v>
      </c>
      <c r="I9" s="101" t="s">
        <v>104</v>
      </c>
      <c r="J9" s="101" t="s">
        <v>112</v>
      </c>
      <c r="K9" s="103" t="s">
        <v>113</v>
      </c>
      <c r="L9" s="103"/>
      <c r="M9" s="103"/>
      <c r="N9" s="104" t="s">
        <v>114</v>
      </c>
      <c r="O9" s="111"/>
      <c r="P9" s="111"/>
      <c r="Q9" s="111"/>
      <c r="R9" s="105"/>
    </row>
    <row r="10" spans="1:18" ht="12.75">
      <c r="A10" s="100">
        <v>31</v>
      </c>
      <c r="B10" s="101" t="s">
        <v>153</v>
      </c>
      <c r="C10" s="101" t="s">
        <v>154</v>
      </c>
      <c r="D10" s="101" t="s">
        <v>155</v>
      </c>
      <c r="E10" s="101" t="s">
        <v>156</v>
      </c>
      <c r="F10" s="101"/>
      <c r="G10" s="101" t="s">
        <v>157</v>
      </c>
      <c r="H10" s="101" t="s">
        <v>103</v>
      </c>
      <c r="I10" s="101" t="s">
        <v>104</v>
      </c>
      <c r="J10" s="100" t="s">
        <v>158</v>
      </c>
      <c r="K10" s="103" t="s">
        <v>159</v>
      </c>
      <c r="L10" s="103"/>
      <c r="M10" s="103"/>
      <c r="N10" s="104" t="s">
        <v>160</v>
      </c>
      <c r="O10" s="105"/>
      <c r="P10" s="111"/>
      <c r="Q10" s="105"/>
      <c r="R10" s="105"/>
    </row>
    <row r="11" spans="1:18" ht="12.75">
      <c r="A11" s="100">
        <v>32</v>
      </c>
      <c r="B11" s="101" t="s">
        <v>161</v>
      </c>
      <c r="C11" s="101" t="s">
        <v>162</v>
      </c>
      <c r="D11" s="101"/>
      <c r="E11" s="101" t="s">
        <v>163</v>
      </c>
      <c r="F11" s="101"/>
      <c r="G11" s="101" t="s">
        <v>157</v>
      </c>
      <c r="H11" s="101" t="s">
        <v>164</v>
      </c>
      <c r="I11" s="101" t="s">
        <v>104</v>
      </c>
      <c r="J11" s="101" t="s">
        <v>165</v>
      </c>
      <c r="K11" s="103" t="s">
        <v>166</v>
      </c>
      <c r="L11" s="103"/>
      <c r="M11" s="103"/>
      <c r="N11" s="101" t="s">
        <v>167</v>
      </c>
      <c r="O11" s="105"/>
      <c r="P11" s="111"/>
      <c r="Q11" s="105"/>
      <c r="R11" s="105"/>
    </row>
    <row r="12" spans="1:18" ht="12.75">
      <c r="A12" s="100">
        <v>33</v>
      </c>
      <c r="B12" s="101" t="s">
        <v>168</v>
      </c>
      <c r="C12" s="101" t="s">
        <v>169</v>
      </c>
      <c r="D12" s="101"/>
      <c r="E12" s="101" t="s">
        <v>163</v>
      </c>
      <c r="F12" s="101"/>
      <c r="G12" s="101" t="s">
        <v>157</v>
      </c>
      <c r="H12" s="101" t="s">
        <v>164</v>
      </c>
      <c r="I12" s="101" t="s">
        <v>104</v>
      </c>
      <c r="J12" s="101" t="s">
        <v>165</v>
      </c>
      <c r="K12" s="103" t="s">
        <v>166</v>
      </c>
      <c r="L12" s="103"/>
      <c r="M12" s="103"/>
      <c r="N12" s="101" t="s">
        <v>167</v>
      </c>
      <c r="O12" s="111"/>
      <c r="P12" s="105"/>
      <c r="Q12" s="111"/>
      <c r="R12" s="105"/>
    </row>
    <row r="13" spans="1:18" ht="12.75">
      <c r="A13" s="100">
        <v>34</v>
      </c>
      <c r="B13" s="101" t="s">
        <v>170</v>
      </c>
      <c r="C13" s="101" t="s">
        <v>137</v>
      </c>
      <c r="D13" s="101"/>
      <c r="E13" s="118" t="s">
        <v>171</v>
      </c>
      <c r="F13" s="102"/>
      <c r="G13" s="101" t="s">
        <v>157</v>
      </c>
      <c r="H13" s="101" t="s">
        <v>103</v>
      </c>
      <c r="I13" s="101" t="s">
        <v>104</v>
      </c>
      <c r="J13" s="107" t="s">
        <v>172</v>
      </c>
      <c r="K13" s="119" t="s">
        <v>173</v>
      </c>
      <c r="L13" s="103"/>
      <c r="M13" s="103"/>
      <c r="N13" s="104" t="s">
        <v>174</v>
      </c>
      <c r="O13" s="105"/>
      <c r="P13" s="105"/>
      <c r="Q13" s="105"/>
      <c r="R13" s="105"/>
    </row>
    <row r="14" spans="1:18" ht="12.75">
      <c r="A14" s="100">
        <v>35</v>
      </c>
      <c r="B14" s="101" t="s">
        <v>175</v>
      </c>
      <c r="C14" s="101" t="s">
        <v>131</v>
      </c>
      <c r="D14" s="101"/>
      <c r="E14" s="101" t="s">
        <v>176</v>
      </c>
      <c r="F14" s="101"/>
      <c r="G14" s="120" t="s">
        <v>111</v>
      </c>
      <c r="H14" s="101" t="s">
        <v>103</v>
      </c>
      <c r="I14" s="101" t="s">
        <v>104</v>
      </c>
      <c r="J14" s="101" t="s">
        <v>177</v>
      </c>
      <c r="K14" s="103" t="s">
        <v>178</v>
      </c>
      <c r="L14" s="103"/>
      <c r="M14" s="103"/>
      <c r="N14" s="101" t="s">
        <v>179</v>
      </c>
      <c r="O14" s="105"/>
      <c r="P14" s="111"/>
      <c r="Q14" s="105"/>
      <c r="R14" s="105"/>
    </row>
    <row r="15" spans="1:18" ht="12.75">
      <c r="A15" s="100">
        <v>36</v>
      </c>
      <c r="B15" s="101" t="s">
        <v>180</v>
      </c>
      <c r="C15" s="101" t="s">
        <v>181</v>
      </c>
      <c r="D15" s="101"/>
      <c r="E15" s="101" t="s">
        <v>182</v>
      </c>
      <c r="F15" s="101"/>
      <c r="G15" s="121" t="s">
        <v>157</v>
      </c>
      <c r="H15" s="101" t="s">
        <v>103</v>
      </c>
      <c r="I15" s="101" t="s">
        <v>104</v>
      </c>
      <c r="J15" s="101" t="s">
        <v>183</v>
      </c>
      <c r="K15" s="103" t="s">
        <v>184</v>
      </c>
      <c r="L15" s="103"/>
      <c r="M15" s="103"/>
      <c r="N15" s="101" t="s">
        <v>185</v>
      </c>
      <c r="O15" s="105"/>
      <c r="P15" s="111"/>
      <c r="Q15" s="105"/>
      <c r="R15" s="105"/>
    </row>
    <row r="16" spans="1:18" ht="12.75">
      <c r="A16" s="100">
        <v>37</v>
      </c>
      <c r="B16" s="101" t="s">
        <v>186</v>
      </c>
      <c r="C16" s="101" t="s">
        <v>187</v>
      </c>
      <c r="D16" s="101"/>
      <c r="E16" s="102" t="s">
        <v>188</v>
      </c>
      <c r="F16" s="101"/>
      <c r="G16" s="101" t="s">
        <v>189</v>
      </c>
      <c r="H16" s="101" t="s">
        <v>103</v>
      </c>
      <c r="I16" s="101" t="s">
        <v>104</v>
      </c>
      <c r="J16" s="102" t="s">
        <v>190</v>
      </c>
      <c r="K16" s="102" t="s">
        <v>191</v>
      </c>
      <c r="L16" s="102" t="s">
        <v>192</v>
      </c>
      <c r="M16" s="103"/>
      <c r="N16" s="118" t="s">
        <v>193</v>
      </c>
      <c r="O16" s="105"/>
      <c r="P16" s="105"/>
      <c r="Q16" s="105"/>
      <c r="R16" s="105"/>
    </row>
    <row r="17" spans="1:18" ht="12.75">
      <c r="A17" s="100">
        <v>38</v>
      </c>
      <c r="B17" s="101" t="s">
        <v>194</v>
      </c>
      <c r="C17" s="101" t="s">
        <v>195</v>
      </c>
      <c r="D17" s="101"/>
      <c r="E17" s="93" t="s">
        <v>196</v>
      </c>
      <c r="F17" s="101"/>
      <c r="G17" s="101" t="s">
        <v>197</v>
      </c>
      <c r="H17" s="101" t="s">
        <v>103</v>
      </c>
      <c r="I17" s="101" t="s">
        <v>104</v>
      </c>
      <c r="J17" s="93" t="s">
        <v>198</v>
      </c>
      <c r="K17" s="107" t="s">
        <v>199</v>
      </c>
      <c r="L17" s="122"/>
      <c r="M17" s="103"/>
      <c r="N17" s="101"/>
      <c r="O17" s="105"/>
      <c r="P17" s="111"/>
      <c r="Q17" s="105"/>
      <c r="R17" s="105"/>
    </row>
    <row r="18" spans="1:18" ht="12.75">
      <c r="A18" s="100">
        <v>39</v>
      </c>
      <c r="B18" s="101" t="s">
        <v>200</v>
      </c>
      <c r="C18" s="101" t="s">
        <v>201</v>
      </c>
      <c r="D18" s="101"/>
      <c r="E18" s="101" t="s">
        <v>202</v>
      </c>
      <c r="F18" s="100"/>
      <c r="G18" s="101" t="s">
        <v>111</v>
      </c>
      <c r="H18" s="101" t="s">
        <v>103</v>
      </c>
      <c r="I18" s="101" t="s">
        <v>104</v>
      </c>
      <c r="J18" s="102" t="s">
        <v>203</v>
      </c>
      <c r="K18" t="s">
        <v>204</v>
      </c>
      <c r="L18" s="103"/>
      <c r="M18" s="103"/>
      <c r="N18" s="101"/>
      <c r="O18" s="105"/>
      <c r="P18" s="111"/>
      <c r="Q18" s="105"/>
      <c r="R18" s="105"/>
    </row>
    <row r="19" spans="1:18" ht="12.75">
      <c r="A19" s="100">
        <v>40</v>
      </c>
      <c r="B19" s="101" t="s">
        <v>205</v>
      </c>
      <c r="C19" s="101" t="s">
        <v>206</v>
      </c>
      <c r="D19" s="101"/>
      <c r="E19" s="118" t="s">
        <v>207</v>
      </c>
      <c r="F19" s="118"/>
      <c r="G19" s="101" t="s">
        <v>208</v>
      </c>
      <c r="H19" s="101" t="s">
        <v>103</v>
      </c>
      <c r="I19" s="101" t="s">
        <v>104</v>
      </c>
      <c r="J19" s="118" t="s">
        <v>209</v>
      </c>
      <c r="K19" s="123" t="s">
        <v>210</v>
      </c>
      <c r="L19" s="103"/>
      <c r="M19" s="103"/>
      <c r="N19" s="101" t="s">
        <v>211</v>
      </c>
      <c r="O19" s="105"/>
      <c r="P19" s="105"/>
      <c r="Q19" s="105"/>
      <c r="R19" s="105"/>
    </row>
    <row r="20" spans="1:18" ht="12.75">
      <c r="A20" s="100">
        <v>41</v>
      </c>
      <c r="B20" s="101" t="s">
        <v>212</v>
      </c>
      <c r="C20" s="101" t="s">
        <v>213</v>
      </c>
      <c r="D20" s="101"/>
      <c r="E20" s="101" t="s">
        <v>214</v>
      </c>
      <c r="F20" s="101"/>
      <c r="G20" s="101" t="s">
        <v>197</v>
      </c>
      <c r="H20" s="101" t="s">
        <v>103</v>
      </c>
      <c r="I20" s="101" t="s">
        <v>104</v>
      </c>
      <c r="J20" s="118" t="s">
        <v>215</v>
      </c>
      <c r="K20" s="123" t="s">
        <v>216</v>
      </c>
      <c r="L20" s="103"/>
      <c r="M20" s="103"/>
      <c r="N20" s="101"/>
      <c r="O20" s="105"/>
      <c r="P20" s="105"/>
      <c r="Q20" s="105"/>
      <c r="R20" s="105"/>
    </row>
    <row r="21" spans="1:18" ht="12.75">
      <c r="A21" s="100">
        <v>42</v>
      </c>
      <c r="B21" s="101" t="s">
        <v>217</v>
      </c>
      <c r="C21" s="101" t="s">
        <v>218</v>
      </c>
      <c r="D21" s="101"/>
      <c r="E21" s="101" t="s">
        <v>219</v>
      </c>
      <c r="F21" s="101"/>
      <c r="G21" s="101" t="s">
        <v>220</v>
      </c>
      <c r="H21" s="101" t="s">
        <v>103</v>
      </c>
      <c r="I21" s="101" t="s">
        <v>104</v>
      </c>
      <c r="J21" s="101" t="s">
        <v>221</v>
      </c>
      <c r="K21" s="103" t="s">
        <v>222</v>
      </c>
      <c r="L21" s="103"/>
      <c r="M21" s="103"/>
      <c r="N21" s="101" t="s">
        <v>223</v>
      </c>
      <c r="O21" s="105"/>
      <c r="P21" s="111"/>
      <c r="Q21" s="105"/>
      <c r="R21" s="105"/>
    </row>
    <row r="22" spans="1:18" ht="12.75">
      <c r="A22" s="100">
        <v>43</v>
      </c>
      <c r="B22" s="101" t="s">
        <v>224</v>
      </c>
      <c r="C22" s="101" t="s">
        <v>225</v>
      </c>
      <c r="D22" s="101"/>
      <c r="E22" s="102"/>
      <c r="F22" s="101"/>
      <c r="G22" s="101"/>
      <c r="H22" s="101" t="s">
        <v>103</v>
      </c>
      <c r="I22" s="101" t="s">
        <v>104</v>
      </c>
      <c r="J22" s="102"/>
      <c r="K22" s="124"/>
      <c r="L22" s="103"/>
      <c r="M22" s="103"/>
      <c r="N22" s="104"/>
      <c r="O22" s="105"/>
      <c r="P22" s="111"/>
      <c r="Q22" s="105"/>
      <c r="R22" s="105"/>
    </row>
    <row r="23" spans="1:18" ht="12.75">
      <c r="A23" s="100">
        <v>44</v>
      </c>
      <c r="B23" s="101" t="s">
        <v>226</v>
      </c>
      <c r="C23" s="101" t="s">
        <v>227</v>
      </c>
      <c r="D23" s="101"/>
      <c r="E23" s="101" t="s">
        <v>228</v>
      </c>
      <c r="F23" s="101"/>
      <c r="G23" s="101" t="s">
        <v>111</v>
      </c>
      <c r="H23" s="101" t="s">
        <v>103</v>
      </c>
      <c r="I23" s="101" t="s">
        <v>104</v>
      </c>
      <c r="J23" s="101" t="s">
        <v>229</v>
      </c>
      <c r="K23" s="103" t="s">
        <v>230</v>
      </c>
      <c r="L23" s="103"/>
      <c r="M23" s="103"/>
      <c r="N23" s="101" t="s">
        <v>231</v>
      </c>
      <c r="O23" s="105"/>
      <c r="P23" s="111"/>
      <c r="Q23" s="105"/>
      <c r="R23" s="105"/>
    </row>
    <row r="24" spans="1:18" ht="12.75">
      <c r="A24" s="100">
        <v>45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3"/>
      <c r="L24" s="103"/>
      <c r="M24" s="103"/>
      <c r="N24" s="101"/>
      <c r="O24" s="105"/>
      <c r="P24" s="105"/>
      <c r="Q24" s="105"/>
      <c r="R24" s="105"/>
    </row>
    <row r="25" spans="1:18" ht="12.75">
      <c r="A25" s="100">
        <v>46</v>
      </c>
      <c r="B25" s="101" t="s">
        <v>232</v>
      </c>
      <c r="C25" s="101" t="s">
        <v>225</v>
      </c>
      <c r="D25" s="101"/>
      <c r="E25" s="101" t="s">
        <v>233</v>
      </c>
      <c r="F25" s="101"/>
      <c r="G25" s="101" t="s">
        <v>197</v>
      </c>
      <c r="H25" s="101" t="s">
        <v>103</v>
      </c>
      <c r="I25" s="101" t="s">
        <v>104</v>
      </c>
      <c r="J25" s="101" t="s">
        <v>234</v>
      </c>
      <c r="K25" s="103" t="s">
        <v>235</v>
      </c>
      <c r="L25" s="103"/>
      <c r="M25" s="103"/>
      <c r="N25" s="101" t="s">
        <v>236</v>
      </c>
      <c r="O25" s="105"/>
      <c r="P25" s="105"/>
      <c r="Q25" s="105"/>
      <c r="R25" s="105"/>
    </row>
    <row r="26" spans="2:18" ht="12.75">
      <c r="B26" s="101" t="s">
        <v>237</v>
      </c>
      <c r="C26" s="101" t="s">
        <v>109</v>
      </c>
      <c r="D26" s="101"/>
      <c r="E26" s="102" t="s">
        <v>238</v>
      </c>
      <c r="F26" s="101"/>
      <c r="G26" s="101" t="s">
        <v>111</v>
      </c>
      <c r="H26" s="101" t="s">
        <v>103</v>
      </c>
      <c r="I26" s="101" t="s">
        <v>104</v>
      </c>
      <c r="J26" s="102" t="s">
        <v>239</v>
      </c>
      <c r="K26" s="102" t="s">
        <v>240</v>
      </c>
      <c r="L26" s="103"/>
      <c r="M26" s="103"/>
      <c r="N26" s="101" t="s">
        <v>241</v>
      </c>
      <c r="O26" s="111"/>
      <c r="P26" s="105"/>
      <c r="Q26" s="111"/>
      <c r="R26" s="105"/>
    </row>
    <row r="27" spans="2:18" ht="12.75">
      <c r="B27" s="101" t="s">
        <v>242</v>
      </c>
      <c r="C27" s="101" t="s">
        <v>243</v>
      </c>
      <c r="D27" s="101"/>
      <c r="E27" s="101" t="s">
        <v>244</v>
      </c>
      <c r="F27" s="101"/>
      <c r="G27" s="101" t="s">
        <v>157</v>
      </c>
      <c r="H27" s="101" t="s">
        <v>103</v>
      </c>
      <c r="I27" s="101" t="s">
        <v>104</v>
      </c>
      <c r="J27" s="100" t="s">
        <v>245</v>
      </c>
      <c r="K27" s="103" t="s">
        <v>246</v>
      </c>
      <c r="L27" s="103"/>
      <c r="M27" s="103"/>
      <c r="N27" s="101" t="s">
        <v>247</v>
      </c>
      <c r="O27" s="111"/>
      <c r="P27" s="111"/>
      <c r="Q27" s="111"/>
      <c r="R27" s="105"/>
    </row>
    <row r="28" spans="1:18" ht="12.75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3"/>
      <c r="L28" s="103"/>
      <c r="M28" s="103"/>
      <c r="N28" s="101"/>
      <c r="O28" s="105"/>
      <c r="P28" s="111"/>
      <c r="Q28" s="105"/>
      <c r="R28" s="105"/>
    </row>
    <row r="29" spans="1:18" ht="12.7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3"/>
      <c r="L29" s="103"/>
      <c r="M29" s="103"/>
      <c r="N29" s="101"/>
      <c r="O29" s="105"/>
      <c r="P29" s="111"/>
      <c r="Q29" s="105"/>
      <c r="R29" s="105"/>
    </row>
    <row r="30" spans="1:18" ht="12.7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3"/>
      <c r="L30" s="103"/>
      <c r="M30" s="103"/>
      <c r="N30" s="101"/>
      <c r="O30" s="105"/>
      <c r="P30" s="111"/>
      <c r="Q30" s="105"/>
      <c r="R30" s="105"/>
    </row>
    <row r="31" spans="1:18" ht="12.75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3"/>
      <c r="L31" s="103"/>
      <c r="M31" s="103"/>
      <c r="N31" s="101"/>
      <c r="O31" s="105"/>
      <c r="P31" s="111"/>
      <c r="Q31" s="105"/>
      <c r="R31" s="105"/>
    </row>
    <row r="32" spans="1:18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3"/>
      <c r="L32" s="103"/>
      <c r="M32" s="103"/>
      <c r="N32" s="101"/>
      <c r="O32" s="105"/>
      <c r="P32" s="111"/>
      <c r="Q32" s="105"/>
      <c r="R32" s="105"/>
    </row>
    <row r="33" spans="11:18" ht="12.75">
      <c r="K33" s="125"/>
      <c r="L33" s="125"/>
      <c r="M33" s="125"/>
      <c r="O33" s="126"/>
      <c r="Q33" s="126"/>
      <c r="R33" s="126"/>
    </row>
    <row r="35" ht="12.75">
      <c r="P35" t="s">
        <v>248</v>
      </c>
    </row>
    <row r="36" ht="12.75">
      <c r="P36" t="s">
        <v>249</v>
      </c>
    </row>
    <row r="37" ht="12.75">
      <c r="P37" t="s">
        <v>250</v>
      </c>
    </row>
    <row r="38" ht="12.75">
      <c r="P38" t="s">
        <v>251</v>
      </c>
    </row>
    <row r="39" ht="12.75">
      <c r="P39" t="s">
        <v>252</v>
      </c>
    </row>
  </sheetData>
  <sheetProtection selectLockedCells="1" selectUnlockedCells="1"/>
  <hyperlinks>
    <hyperlink ref="N2" r:id="rId1" display="barnswallow@telus.net"/>
    <hyperlink ref="N6" r:id="rId2" display="chemainus200@sadahome.ca"/>
    <hyperlink ref="N9" r:id="rId3" display="deirbob@telus.net"/>
    <hyperlink ref="N10" r:id="rId4" display="randoray@shaw.ca"/>
    <hyperlink ref="N13" r:id="rId5" display="kenbonner@telus.ne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96"/>
  <sheetViews>
    <sheetView tabSelected="1" zoomScale="75" zoomScaleNormal="75" workbookViewId="0" topLeftCell="A1">
      <selection activeCell="C47" sqref="C47"/>
    </sheetView>
  </sheetViews>
  <sheetFormatPr defaultColWidth="9.140625" defaultRowHeight="12.75"/>
  <cols>
    <col min="1" max="1" width="5.57421875" style="127" customWidth="1"/>
    <col min="2" max="2" width="3.7109375" style="128" customWidth="1"/>
    <col min="3" max="3" width="32.57421875" style="129" customWidth="1"/>
    <col min="4" max="4" width="5.57421875" style="127" customWidth="1"/>
    <col min="5" max="5" width="0.71875" style="0" customWidth="1"/>
    <col min="6" max="6" width="5.57421875" style="127" customWidth="1"/>
    <col min="7" max="7" width="3.7109375" style="128" customWidth="1"/>
    <col min="8" max="8" width="31.7109375" style="129" customWidth="1"/>
    <col min="9" max="9" width="5.57421875" style="127" customWidth="1"/>
    <col min="10" max="11" width="8.8515625" style="0" customWidth="1"/>
    <col min="12" max="12" width="9.140625" style="130" customWidth="1"/>
    <col min="13" max="16384" width="8.8515625" style="0" customWidth="1"/>
  </cols>
  <sheetData>
    <row r="1" spans="1:9" ht="60.75">
      <c r="A1" s="131" t="s">
        <v>253</v>
      </c>
      <c r="B1" s="132" t="s">
        <v>254</v>
      </c>
      <c r="C1" s="133" t="s">
        <v>255</v>
      </c>
      <c r="D1" s="134" t="s">
        <v>256</v>
      </c>
      <c r="F1" s="131" t="s">
        <v>253</v>
      </c>
      <c r="G1" s="132" t="s">
        <v>254</v>
      </c>
      <c r="H1" s="133" t="s">
        <v>255</v>
      </c>
      <c r="I1" s="134" t="s">
        <v>256</v>
      </c>
    </row>
    <row r="2" spans="1:9" ht="12.75">
      <c r="A2" s="135"/>
      <c r="B2" s="136"/>
      <c r="C2" s="137" t="s">
        <v>257</v>
      </c>
      <c r="D2" s="138"/>
      <c r="F2" s="139">
        <f>A20</f>
        <v>172</v>
      </c>
      <c r="G2" s="140" t="s">
        <v>258</v>
      </c>
      <c r="H2" s="141" t="s">
        <v>259</v>
      </c>
      <c r="I2" s="142">
        <v>3.2</v>
      </c>
    </row>
    <row r="3" spans="1:9" ht="12.75">
      <c r="A3" s="139"/>
      <c r="B3" s="143"/>
      <c r="C3" s="137" t="s">
        <v>260</v>
      </c>
      <c r="D3" s="142"/>
      <c r="F3" s="139">
        <f>F2+I2</f>
        <v>175.2</v>
      </c>
      <c r="G3" s="140" t="s">
        <v>261</v>
      </c>
      <c r="H3" s="141" t="s">
        <v>262</v>
      </c>
      <c r="I3" s="142">
        <v>29.7</v>
      </c>
    </row>
    <row r="4" spans="1:9" ht="12.75">
      <c r="A4" s="135"/>
      <c r="B4" s="136"/>
      <c r="C4" s="136"/>
      <c r="D4" s="138"/>
      <c r="F4" s="139">
        <f>F3+I3</f>
        <v>204.89999999999998</v>
      </c>
      <c r="G4" s="140" t="s">
        <v>263</v>
      </c>
      <c r="H4" s="141" t="s">
        <v>264</v>
      </c>
      <c r="I4" s="142">
        <v>88.2</v>
      </c>
    </row>
    <row r="5" spans="1:9" ht="12.75">
      <c r="A5" s="139"/>
      <c r="B5" s="143" t="s">
        <v>263</v>
      </c>
      <c r="C5" s="144" t="s">
        <v>265</v>
      </c>
      <c r="D5" s="142">
        <v>2.9</v>
      </c>
      <c r="F5" s="139">
        <f>F4+I4</f>
        <v>293.09999999999997</v>
      </c>
      <c r="G5" s="140" t="s">
        <v>261</v>
      </c>
      <c r="H5" s="141" t="s">
        <v>266</v>
      </c>
      <c r="I5" s="142">
        <v>2.7</v>
      </c>
    </row>
    <row r="6" spans="1:9" ht="12.75">
      <c r="A6" s="139">
        <f>A2+D5</f>
        <v>2.9</v>
      </c>
      <c r="B6" s="143" t="s">
        <v>261</v>
      </c>
      <c r="C6" s="141" t="s">
        <v>267</v>
      </c>
      <c r="D6" s="142">
        <v>9.9</v>
      </c>
      <c r="F6" s="139">
        <f>F5+I5</f>
        <v>295.79999999999995</v>
      </c>
      <c r="G6" s="140" t="s">
        <v>263</v>
      </c>
      <c r="H6" s="141" t="s">
        <v>268</v>
      </c>
      <c r="I6" s="142">
        <v>0.2</v>
      </c>
    </row>
    <row r="7" spans="1:12" ht="12.75">
      <c r="A7" s="139">
        <f>A6+D6</f>
        <v>12.8</v>
      </c>
      <c r="B7" s="140" t="s">
        <v>263</v>
      </c>
      <c r="C7" s="144" t="s">
        <v>269</v>
      </c>
      <c r="D7" s="142">
        <v>35.2</v>
      </c>
      <c r="F7" s="139"/>
      <c r="G7" s="140"/>
      <c r="H7" s="141"/>
      <c r="I7" s="142"/>
      <c r="L7"/>
    </row>
    <row r="8" spans="1:9" ht="12.75">
      <c r="A8" s="135"/>
      <c r="B8" s="136"/>
      <c r="C8" s="136"/>
      <c r="D8" s="142"/>
      <c r="F8" s="145">
        <f>F6+I6</f>
        <v>295.99999999999994</v>
      </c>
      <c r="G8" s="146" t="s">
        <v>270</v>
      </c>
      <c r="H8" s="137" t="s">
        <v>271</v>
      </c>
      <c r="I8" s="138"/>
    </row>
    <row r="9" spans="1:12" ht="12.75">
      <c r="A9" s="135">
        <f>A7+D7</f>
        <v>48</v>
      </c>
      <c r="B9" s="136" t="s">
        <v>263</v>
      </c>
      <c r="C9" s="136" t="s">
        <v>272</v>
      </c>
      <c r="D9" s="142"/>
      <c r="F9" s="135"/>
      <c r="G9" s="137"/>
      <c r="H9" s="137" t="s">
        <v>273</v>
      </c>
      <c r="I9" s="138"/>
      <c r="L9"/>
    </row>
    <row r="10" spans="1:12" ht="12.75">
      <c r="A10" s="139"/>
      <c r="B10" s="143"/>
      <c r="C10" s="136" t="s">
        <v>273</v>
      </c>
      <c r="D10" s="142"/>
      <c r="F10" s="139"/>
      <c r="G10" s="140"/>
      <c r="H10" s="140"/>
      <c r="I10" s="142"/>
      <c r="L10"/>
    </row>
    <row r="11" spans="1:12" ht="12.75">
      <c r="A11" s="139"/>
      <c r="B11" s="143"/>
      <c r="C11" s="144"/>
      <c r="D11" s="142"/>
      <c r="F11" s="139">
        <f>F8</f>
        <v>295.99999999999994</v>
      </c>
      <c r="G11" s="140" t="s">
        <v>270</v>
      </c>
      <c r="H11" s="141" t="s">
        <v>268</v>
      </c>
      <c r="I11" s="142">
        <v>35.2</v>
      </c>
      <c r="L11"/>
    </row>
    <row r="12" spans="1:12" ht="12.75">
      <c r="A12" s="135"/>
      <c r="B12" s="136"/>
      <c r="C12" s="147" t="s">
        <v>274</v>
      </c>
      <c r="D12" s="138"/>
      <c r="F12" s="139">
        <f aca="true" t="shared" si="0" ref="F12:F17">F11+I11</f>
        <v>331.19999999999993</v>
      </c>
      <c r="G12" s="140" t="s">
        <v>270</v>
      </c>
      <c r="H12" s="141" t="s">
        <v>275</v>
      </c>
      <c r="I12" s="142">
        <v>9.1</v>
      </c>
      <c r="L12"/>
    </row>
    <row r="13" spans="1:12" ht="12.75">
      <c r="A13" s="139"/>
      <c r="B13" s="136"/>
      <c r="C13" s="136"/>
      <c r="D13" s="138"/>
      <c r="F13" s="139">
        <f t="shared" si="0"/>
        <v>340.29999999999995</v>
      </c>
      <c r="G13" s="140" t="s">
        <v>270</v>
      </c>
      <c r="H13" s="141" t="s">
        <v>276</v>
      </c>
      <c r="I13" s="142">
        <v>22.4</v>
      </c>
      <c r="L13"/>
    </row>
    <row r="14" spans="1:12" ht="12.75">
      <c r="A14" s="139">
        <f>A9</f>
        <v>48</v>
      </c>
      <c r="B14" s="140" t="s">
        <v>263</v>
      </c>
      <c r="C14" s="141" t="s">
        <v>277</v>
      </c>
      <c r="D14" s="142">
        <v>0.2</v>
      </c>
      <c r="F14" s="139">
        <f t="shared" si="0"/>
        <v>362.69999999999993</v>
      </c>
      <c r="G14" s="140" t="s">
        <v>270</v>
      </c>
      <c r="H14" s="141" t="s">
        <v>278</v>
      </c>
      <c r="I14" s="142">
        <v>0.7</v>
      </c>
      <c r="L14"/>
    </row>
    <row r="15" spans="1:12" ht="12.75">
      <c r="A15" s="139">
        <f>A14+D14</f>
        <v>48.2</v>
      </c>
      <c r="B15" s="140" t="s">
        <v>270</v>
      </c>
      <c r="C15" s="141" t="s">
        <v>266</v>
      </c>
      <c r="D15" s="142">
        <v>2.7</v>
      </c>
      <c r="F15" s="139">
        <f t="shared" si="0"/>
        <v>363.3999999999999</v>
      </c>
      <c r="G15" s="148" t="s">
        <v>261</v>
      </c>
      <c r="H15" s="149" t="s">
        <v>279</v>
      </c>
      <c r="I15" s="150">
        <v>0.7</v>
      </c>
      <c r="L15"/>
    </row>
    <row r="16" spans="1:12" ht="12.75">
      <c r="A16" s="139">
        <f>A15+D15</f>
        <v>50.900000000000006</v>
      </c>
      <c r="B16" s="140" t="s">
        <v>261</v>
      </c>
      <c r="C16" s="141" t="s">
        <v>280</v>
      </c>
      <c r="D16" s="142">
        <v>88.2</v>
      </c>
      <c r="F16" s="139">
        <f t="shared" si="0"/>
        <v>364.0999999999999</v>
      </c>
      <c r="G16" s="140" t="s">
        <v>263</v>
      </c>
      <c r="H16" s="141" t="s">
        <v>281</v>
      </c>
      <c r="I16" s="142">
        <v>0.1</v>
      </c>
      <c r="L16"/>
    </row>
    <row r="17" spans="1:12" ht="12.75">
      <c r="A17" s="139">
        <f>A16+D16</f>
        <v>139.10000000000002</v>
      </c>
      <c r="B17" s="140" t="s">
        <v>270</v>
      </c>
      <c r="C17" s="141" t="s">
        <v>282</v>
      </c>
      <c r="D17" s="142">
        <v>29.7</v>
      </c>
      <c r="F17" s="139">
        <f t="shared" si="0"/>
        <v>364.19999999999993</v>
      </c>
      <c r="G17" s="148" t="s">
        <v>263</v>
      </c>
      <c r="H17" s="149" t="s">
        <v>283</v>
      </c>
      <c r="I17" s="150">
        <v>0</v>
      </c>
      <c r="L17"/>
    </row>
    <row r="18" spans="1:12" ht="12.75">
      <c r="A18" s="139">
        <f>A17+D17</f>
        <v>168.8</v>
      </c>
      <c r="B18" s="140" t="s">
        <v>261</v>
      </c>
      <c r="C18" s="141" t="s">
        <v>284</v>
      </c>
      <c r="D18" s="142">
        <v>3.2</v>
      </c>
      <c r="F18" s="139"/>
      <c r="G18" s="140"/>
      <c r="H18" s="137"/>
      <c r="I18" s="142"/>
      <c r="L18"/>
    </row>
    <row r="19" spans="1:12" ht="12.75">
      <c r="A19" s="139"/>
      <c r="B19" s="140"/>
      <c r="C19" s="141"/>
      <c r="D19" s="142"/>
      <c r="F19" s="145">
        <f>F17+I17</f>
        <v>364.19999999999993</v>
      </c>
      <c r="G19" s="146" t="s">
        <v>263</v>
      </c>
      <c r="H19" s="137" t="s">
        <v>285</v>
      </c>
      <c r="I19" s="138"/>
      <c r="L19"/>
    </row>
    <row r="20" spans="1:12" ht="12.75">
      <c r="A20" s="135">
        <f>A18+D18</f>
        <v>172</v>
      </c>
      <c r="B20" s="140"/>
      <c r="C20" s="137" t="s">
        <v>286</v>
      </c>
      <c r="D20" s="142"/>
      <c r="F20" s="135"/>
      <c r="G20" s="137"/>
      <c r="H20" s="137" t="s">
        <v>287</v>
      </c>
      <c r="I20" s="138"/>
      <c r="L20"/>
    </row>
    <row r="21" spans="1:9" ht="12.75">
      <c r="A21" s="139"/>
      <c r="B21" s="140"/>
      <c r="C21" s="137" t="s">
        <v>288</v>
      </c>
      <c r="D21" s="142"/>
      <c r="F21" s="151"/>
      <c r="G21" s="148"/>
      <c r="H21" s="152" t="s">
        <v>289</v>
      </c>
      <c r="I21" s="150"/>
    </row>
    <row r="22" spans="1:9" ht="12.75">
      <c r="A22" s="139"/>
      <c r="B22" s="143"/>
      <c r="C22" s="144"/>
      <c r="D22" s="142"/>
      <c r="F22" s="151"/>
      <c r="G22" s="148"/>
      <c r="H22" s="141"/>
      <c r="I22" s="150"/>
    </row>
    <row r="23" spans="1:9" ht="12.75">
      <c r="A23" s="153"/>
      <c r="B23" s="154"/>
      <c r="C23" s="155"/>
      <c r="D23" s="156"/>
      <c r="F23" s="153"/>
      <c r="G23" s="154"/>
      <c r="H23" s="155"/>
      <c r="I23" s="156"/>
    </row>
    <row r="24" spans="1:9" ht="4.5" customHeight="1">
      <c r="A24" s="157"/>
      <c r="B24" s="158"/>
      <c r="C24" s="159"/>
      <c r="D24" s="157"/>
      <c r="F24" s="157"/>
      <c r="G24" s="158"/>
      <c r="H24" s="159"/>
      <c r="I24" s="157"/>
    </row>
    <row r="25" spans="1:9" ht="60.75">
      <c r="A25" s="131" t="s">
        <v>253</v>
      </c>
      <c r="B25" s="132" t="s">
        <v>254</v>
      </c>
      <c r="C25" s="133" t="s">
        <v>255</v>
      </c>
      <c r="D25" s="134" t="s">
        <v>256</v>
      </c>
      <c r="F25" s="131" t="s">
        <v>253</v>
      </c>
      <c r="G25" s="132" t="s">
        <v>254</v>
      </c>
      <c r="H25" s="133" t="s">
        <v>255</v>
      </c>
      <c r="I25" s="134" t="s">
        <v>256</v>
      </c>
    </row>
    <row r="26" spans="1:104" s="162" customFormat="1" ht="12.75">
      <c r="A26" s="139">
        <f>F19</f>
        <v>364.19999999999993</v>
      </c>
      <c r="B26" s="143" t="s">
        <v>263</v>
      </c>
      <c r="C26" s="144" t="s">
        <v>290</v>
      </c>
      <c r="D26" s="142">
        <v>0</v>
      </c>
      <c r="E26"/>
      <c r="F26" s="151">
        <f>A46</f>
        <v>498.9999999999999</v>
      </c>
      <c r="G26" s="160" t="s">
        <v>270</v>
      </c>
      <c r="H26" s="161" t="s">
        <v>291</v>
      </c>
      <c r="I26" s="150">
        <v>3.4</v>
      </c>
      <c r="J26"/>
      <c r="K26"/>
      <c r="L26" s="130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62" customFormat="1" ht="12.75">
      <c r="A27" s="151">
        <f aca="true" t="shared" si="1" ref="A27:A32">A26+D26</f>
        <v>364.19999999999993</v>
      </c>
      <c r="B27" s="163" t="s">
        <v>270</v>
      </c>
      <c r="C27" s="164" t="s">
        <v>281</v>
      </c>
      <c r="D27" s="150">
        <v>0.1</v>
      </c>
      <c r="E27"/>
      <c r="F27" s="151"/>
      <c r="G27" s="160"/>
      <c r="H27" s="161" t="s">
        <v>292</v>
      </c>
      <c r="I27" s="150"/>
      <c r="J27"/>
      <c r="K27"/>
      <c r="L27" s="130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62" customFormat="1" ht="12.75">
      <c r="A28" s="151">
        <f t="shared" si="1"/>
        <v>364.29999999999995</v>
      </c>
      <c r="B28" s="163" t="s">
        <v>270</v>
      </c>
      <c r="C28" s="164" t="s">
        <v>293</v>
      </c>
      <c r="D28" s="150">
        <v>0.7</v>
      </c>
      <c r="E28"/>
      <c r="F28" s="151">
        <f>F26+I26</f>
        <v>502.39999999999986</v>
      </c>
      <c r="G28" s="148" t="s">
        <v>261</v>
      </c>
      <c r="H28" s="144" t="s">
        <v>294</v>
      </c>
      <c r="I28" s="150">
        <v>34.4</v>
      </c>
      <c r="J28"/>
      <c r="K28"/>
      <c r="L28" s="130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62" customFormat="1" ht="12.75">
      <c r="A29" s="151">
        <f t="shared" si="1"/>
        <v>364.99999999999994</v>
      </c>
      <c r="B29" s="143" t="s">
        <v>261</v>
      </c>
      <c r="C29" s="144" t="s">
        <v>295</v>
      </c>
      <c r="D29" s="142">
        <v>16.9</v>
      </c>
      <c r="E29"/>
      <c r="F29" s="151">
        <f>F28+I28</f>
        <v>536.7999999999998</v>
      </c>
      <c r="G29" s="148" t="s">
        <v>263</v>
      </c>
      <c r="H29" s="144" t="s">
        <v>296</v>
      </c>
      <c r="I29" s="150">
        <v>1.6</v>
      </c>
      <c r="J29"/>
      <c r="K29"/>
      <c r="L29" s="130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62" customFormat="1" ht="12.75">
      <c r="A30" s="151">
        <f t="shared" si="1"/>
        <v>381.8999999999999</v>
      </c>
      <c r="B30" s="163" t="s">
        <v>270</v>
      </c>
      <c r="C30" s="164" t="s">
        <v>297</v>
      </c>
      <c r="D30" s="150">
        <v>5.5</v>
      </c>
      <c r="E30"/>
      <c r="F30" s="151">
        <f>F29+I29</f>
        <v>538.3999999999999</v>
      </c>
      <c r="G30" s="143" t="s">
        <v>270</v>
      </c>
      <c r="H30" s="144" t="s">
        <v>298</v>
      </c>
      <c r="I30" s="142">
        <v>0.3</v>
      </c>
      <c r="J30"/>
      <c r="K30"/>
      <c r="L30" s="130"/>
      <c r="M30" s="1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62" customFormat="1" ht="12.75">
      <c r="A31" s="151">
        <f t="shared" si="1"/>
        <v>387.3999999999999</v>
      </c>
      <c r="B31" s="163" t="s">
        <v>261</v>
      </c>
      <c r="C31" s="164" t="s">
        <v>299</v>
      </c>
      <c r="D31" s="150">
        <v>10.9</v>
      </c>
      <c r="E31"/>
      <c r="F31" s="151">
        <f>F30+I30</f>
        <v>538.6999999999998</v>
      </c>
      <c r="G31" s="163" t="s">
        <v>263</v>
      </c>
      <c r="H31" s="164" t="s">
        <v>300</v>
      </c>
      <c r="I31" s="150">
        <v>1.5</v>
      </c>
      <c r="J31"/>
      <c r="K31"/>
      <c r="L31" s="13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62" customFormat="1" ht="12.75">
      <c r="A32" s="151">
        <f t="shared" si="1"/>
        <v>398.2999999999999</v>
      </c>
      <c r="B32" s="148" t="s">
        <v>263</v>
      </c>
      <c r="C32" s="149" t="s">
        <v>301</v>
      </c>
      <c r="D32" s="150">
        <v>0</v>
      </c>
      <c r="E32"/>
      <c r="F32" s="151">
        <f>F31+I31</f>
        <v>540.1999999999998</v>
      </c>
      <c r="G32" s="163" t="s">
        <v>261</v>
      </c>
      <c r="H32" s="164" t="s">
        <v>302</v>
      </c>
      <c r="I32" s="150">
        <v>59.5</v>
      </c>
      <c r="J32"/>
      <c r="K32"/>
      <c r="L32" s="13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62" customFormat="1" ht="12.75">
      <c r="A33" s="151"/>
      <c r="B33" s="148"/>
      <c r="C33" s="149"/>
      <c r="D33" s="150"/>
      <c r="E33"/>
      <c r="F33" s="151">
        <f>F32+I32</f>
        <v>599.6999999999998</v>
      </c>
      <c r="G33" s="163" t="s">
        <v>261</v>
      </c>
      <c r="H33" s="165" t="s">
        <v>303</v>
      </c>
      <c r="I33" s="166">
        <v>10.9</v>
      </c>
      <c r="J33"/>
      <c r="K33"/>
      <c r="L33" s="13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62" customFormat="1" ht="12.75">
      <c r="A34" s="167">
        <f>A32+D32</f>
        <v>398.2999999999999</v>
      </c>
      <c r="B34" s="168" t="s">
        <v>270</v>
      </c>
      <c r="C34" s="168" t="s">
        <v>304</v>
      </c>
      <c r="D34" s="169"/>
      <c r="E34"/>
      <c r="F34" s="170"/>
      <c r="G34" s="163"/>
      <c r="H34" s="171"/>
      <c r="I34" s="166"/>
      <c r="J34"/>
      <c r="K34"/>
      <c r="L34" s="13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62" customFormat="1" ht="12.75">
      <c r="A35" s="151"/>
      <c r="B35" s="148"/>
      <c r="C35" s="152" t="s">
        <v>305</v>
      </c>
      <c r="D35" s="150"/>
      <c r="E35"/>
      <c r="F35" s="167">
        <f>F33+I33</f>
        <v>610.5999999999998</v>
      </c>
      <c r="G35" s="168" t="s">
        <v>270</v>
      </c>
      <c r="H35" s="172" t="s">
        <v>306</v>
      </c>
      <c r="I35" s="166"/>
      <c r="J35"/>
      <c r="K35"/>
      <c r="L35" s="13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62" customFormat="1" ht="12.75">
      <c r="A36" s="151"/>
      <c r="B36" s="140"/>
      <c r="C36" s="141"/>
      <c r="D36" s="142"/>
      <c r="E36"/>
      <c r="F36" s="151"/>
      <c r="G36" s="148"/>
      <c r="H36" s="172" t="s">
        <v>307</v>
      </c>
      <c r="I36" s="166"/>
      <c r="J36"/>
      <c r="K36"/>
      <c r="L36" s="13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62" customFormat="1" ht="12.75">
      <c r="A37" s="151"/>
      <c r="B37" s="163" t="s">
        <v>263</v>
      </c>
      <c r="C37" s="164" t="s">
        <v>308</v>
      </c>
      <c r="D37" s="150">
        <v>0</v>
      </c>
      <c r="E37"/>
      <c r="F37" s="151"/>
      <c r="G37" s="148"/>
      <c r="H37" s="172"/>
      <c r="I37" s="166"/>
      <c r="J37"/>
      <c r="K37"/>
      <c r="L37" s="13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62" customFormat="1" ht="12.75">
      <c r="A38" s="151">
        <f>A34+D37</f>
        <v>398.2999999999999</v>
      </c>
      <c r="B38" s="148" t="s">
        <v>263</v>
      </c>
      <c r="C38" s="161" t="s">
        <v>309</v>
      </c>
      <c r="D38" s="150">
        <v>59.5</v>
      </c>
      <c r="E38"/>
      <c r="F38" s="167"/>
      <c r="G38" s="173"/>
      <c r="H38" s="137"/>
      <c r="I38" s="150"/>
      <c r="J38"/>
      <c r="K38"/>
      <c r="L38" s="13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62" customFormat="1" ht="12.75">
      <c r="A39" s="151">
        <f>A38+D38</f>
        <v>457.7999999999999</v>
      </c>
      <c r="B39" s="148" t="s">
        <v>261</v>
      </c>
      <c r="C39" s="164" t="s">
        <v>310</v>
      </c>
      <c r="D39" s="150">
        <v>1.5</v>
      </c>
      <c r="E39"/>
      <c r="F39" s="151"/>
      <c r="G39" s="163"/>
      <c r="H39" s="137"/>
      <c r="I39" s="169"/>
      <c r="J39"/>
      <c r="K39"/>
      <c r="L39" s="13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62" customFormat="1" ht="12.75">
      <c r="A40" s="151">
        <f>A39+D39</f>
        <v>459.2999999999999</v>
      </c>
      <c r="B40" s="148" t="s">
        <v>270</v>
      </c>
      <c r="C40" s="164" t="s">
        <v>311</v>
      </c>
      <c r="D40" s="150">
        <v>0.3</v>
      </c>
      <c r="E40"/>
      <c r="F40" s="151"/>
      <c r="G40" s="143"/>
      <c r="H40" s="144"/>
      <c r="I40" s="150"/>
      <c r="J40"/>
      <c r="K40"/>
      <c r="L40" s="13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62" customFormat="1" ht="12.75">
      <c r="A41" s="151">
        <f>A40+D40</f>
        <v>459.5999999999999</v>
      </c>
      <c r="B41" s="148" t="s">
        <v>263</v>
      </c>
      <c r="C41" s="164" t="s">
        <v>312</v>
      </c>
      <c r="D41" s="150">
        <v>1.6</v>
      </c>
      <c r="E41"/>
      <c r="F41" s="167"/>
      <c r="G41" s="173"/>
      <c r="H41" s="137"/>
      <c r="I41" s="150"/>
      <c r="J41"/>
      <c r="K41"/>
      <c r="L41" s="13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62" customFormat="1" ht="12.75">
      <c r="A42" s="151">
        <f>A41+D41</f>
        <v>461.19999999999993</v>
      </c>
      <c r="B42" s="148" t="s">
        <v>270</v>
      </c>
      <c r="C42" s="161" t="s">
        <v>313</v>
      </c>
      <c r="D42" s="150">
        <v>34.4</v>
      </c>
      <c r="E42"/>
      <c r="F42" s="151"/>
      <c r="G42" s="163"/>
      <c r="H42" s="137"/>
      <c r="I42" s="169"/>
      <c r="J42"/>
      <c r="K42"/>
      <c r="L42" s="13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62" customFormat="1" ht="12.75">
      <c r="A43" s="151"/>
      <c r="B43" s="148"/>
      <c r="C43" s="149" t="s">
        <v>314</v>
      </c>
      <c r="D43" s="150"/>
      <c r="E43"/>
      <c r="F43" s="139"/>
      <c r="G43" s="143"/>
      <c r="H43" s="144"/>
      <c r="I43" s="142"/>
      <c r="J43"/>
      <c r="K43"/>
      <c r="L43" s="13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62" customFormat="1" ht="12.75">
      <c r="A44" s="151">
        <f>A42+D42</f>
        <v>495.5999999999999</v>
      </c>
      <c r="B44" s="148" t="s">
        <v>261</v>
      </c>
      <c r="C44" s="149" t="s">
        <v>315</v>
      </c>
      <c r="D44" s="150">
        <v>3.4</v>
      </c>
      <c r="E44"/>
      <c r="F44" s="167"/>
      <c r="G44" s="173"/>
      <c r="H44" s="137"/>
      <c r="I44" s="169"/>
      <c r="J44"/>
      <c r="K44"/>
      <c r="L44" s="13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62" customFormat="1" ht="12.75">
      <c r="A45" s="151"/>
      <c r="B45" s="148"/>
      <c r="C45" s="149"/>
      <c r="D45" s="150"/>
      <c r="E45"/>
      <c r="F45" s="151"/>
      <c r="G45" s="163"/>
      <c r="H45" s="137"/>
      <c r="I45" s="150"/>
      <c r="J45"/>
      <c r="K45"/>
      <c r="L45" s="13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62" customFormat="1" ht="12.75">
      <c r="A46" s="167">
        <f>A44+D44</f>
        <v>498.9999999999999</v>
      </c>
      <c r="B46" s="152" t="s">
        <v>263</v>
      </c>
      <c r="C46" s="152" t="s">
        <v>316</v>
      </c>
      <c r="D46" s="169"/>
      <c r="E46"/>
      <c r="F46" s="139"/>
      <c r="G46" s="143"/>
      <c r="H46" s="174" t="s">
        <v>317</v>
      </c>
      <c r="I46" s="142"/>
      <c r="J46"/>
      <c r="K46"/>
      <c r="L46" s="13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2.75">
      <c r="A47" s="153"/>
      <c r="B47" s="154"/>
      <c r="C47" s="175" t="s">
        <v>318</v>
      </c>
      <c r="D47" s="156"/>
      <c r="F47" s="153"/>
      <c r="G47" s="154"/>
      <c r="H47" s="155"/>
      <c r="I47" s="156"/>
    </row>
    <row r="48" ht="4.5" customHeight="1"/>
    <row r="49" spans="1:9" ht="12.75">
      <c r="A49"/>
      <c r="B49"/>
      <c r="C49"/>
      <c r="D49"/>
      <c r="F49"/>
      <c r="G49"/>
      <c r="H49"/>
      <c r="I49"/>
    </row>
    <row r="50" spans="1:9" ht="12.75">
      <c r="A50"/>
      <c r="B50"/>
      <c r="C50"/>
      <c r="D50"/>
      <c r="F50"/>
      <c r="G50"/>
      <c r="H50"/>
      <c r="I50"/>
    </row>
    <row r="51" spans="1:9" ht="12.75">
      <c r="A51"/>
      <c r="B51"/>
      <c r="C51"/>
      <c r="D51"/>
      <c r="F51"/>
      <c r="G51"/>
      <c r="H51"/>
      <c r="I51"/>
    </row>
    <row r="52" spans="1:9" ht="12.75">
      <c r="A52"/>
      <c r="B52"/>
      <c r="C52"/>
      <c r="D52"/>
      <c r="F52"/>
      <c r="G52"/>
      <c r="H52"/>
      <c r="I52"/>
    </row>
    <row r="53" spans="1:9" ht="12.75">
      <c r="A53"/>
      <c r="B53"/>
      <c r="C53"/>
      <c r="D53"/>
      <c r="F53"/>
      <c r="G53"/>
      <c r="H53"/>
      <c r="I53"/>
    </row>
    <row r="54" spans="1:9" ht="12.75">
      <c r="A54"/>
      <c r="B54"/>
      <c r="C54"/>
      <c r="D54"/>
      <c r="F54"/>
      <c r="G54"/>
      <c r="H54"/>
      <c r="I54"/>
    </row>
    <row r="55" spans="1:9" ht="12.75">
      <c r="A55"/>
      <c r="B55"/>
      <c r="C55"/>
      <c r="D55"/>
      <c r="F55"/>
      <c r="G55"/>
      <c r="H55"/>
      <c r="I55"/>
    </row>
    <row r="56" spans="1:9" ht="12.75">
      <c r="A56"/>
      <c r="B56"/>
      <c r="C56"/>
      <c r="D56"/>
      <c r="F56"/>
      <c r="G56"/>
      <c r="H56"/>
      <c r="I56"/>
    </row>
    <row r="57" spans="1:9" ht="12.75">
      <c r="A57"/>
      <c r="B57"/>
      <c r="C57"/>
      <c r="D57"/>
      <c r="F57"/>
      <c r="G57"/>
      <c r="H57"/>
      <c r="I57"/>
    </row>
    <row r="58" spans="1:9" ht="12.75">
      <c r="A58"/>
      <c r="B58"/>
      <c r="C58"/>
      <c r="D58"/>
      <c r="F58"/>
      <c r="G58"/>
      <c r="H58"/>
      <c r="I58"/>
    </row>
    <row r="59" spans="1:9" ht="12.75">
      <c r="A59"/>
      <c r="B59"/>
      <c r="C59"/>
      <c r="D59"/>
      <c r="F59"/>
      <c r="G59"/>
      <c r="H59"/>
      <c r="I59"/>
    </row>
    <row r="60" spans="1:9" ht="12.75">
      <c r="A60"/>
      <c r="B60"/>
      <c r="C60"/>
      <c r="D60"/>
      <c r="F60"/>
      <c r="G60"/>
      <c r="H60"/>
      <c r="I60"/>
    </row>
    <row r="61" spans="1:9" ht="12.75">
      <c r="A61"/>
      <c r="B61"/>
      <c r="C61"/>
      <c r="D61"/>
      <c r="F61"/>
      <c r="G61"/>
      <c r="H61"/>
      <c r="I61"/>
    </row>
    <row r="62" spans="1:9" ht="12.75">
      <c r="A62"/>
      <c r="B62"/>
      <c r="C62"/>
      <c r="D62"/>
      <c r="F62"/>
      <c r="G62"/>
      <c r="H62"/>
      <c r="I62"/>
    </row>
    <row r="63" spans="1:9" ht="12.75">
      <c r="A63"/>
      <c r="B63"/>
      <c r="C63"/>
      <c r="D63"/>
      <c r="F63"/>
      <c r="G63"/>
      <c r="H63"/>
      <c r="I63"/>
    </row>
    <row r="64" spans="1:9" ht="12.75">
      <c r="A64"/>
      <c r="B64"/>
      <c r="C64"/>
      <c r="D64"/>
      <c r="F64"/>
      <c r="G64"/>
      <c r="H64"/>
      <c r="I64"/>
    </row>
    <row r="65" spans="1:9" ht="12.75">
      <c r="A65"/>
      <c r="B65"/>
      <c r="C65"/>
      <c r="D65"/>
      <c r="F65"/>
      <c r="G65"/>
      <c r="H65"/>
      <c r="I65"/>
    </row>
    <row r="66" spans="1:9" ht="12.75">
      <c r="A66"/>
      <c r="B66"/>
      <c r="C66"/>
      <c r="D66"/>
      <c r="F66"/>
      <c r="G66"/>
      <c r="H66"/>
      <c r="I66"/>
    </row>
    <row r="67" spans="1:9" ht="12.75">
      <c r="A67"/>
      <c r="B67"/>
      <c r="C67"/>
      <c r="D67"/>
      <c r="F67"/>
      <c r="G67"/>
      <c r="H67"/>
      <c r="I67"/>
    </row>
    <row r="68" spans="1:9" ht="12.75">
      <c r="A68"/>
      <c r="B68"/>
      <c r="C68"/>
      <c r="D68"/>
      <c r="F68"/>
      <c r="G68"/>
      <c r="H68"/>
      <c r="I68"/>
    </row>
    <row r="69" spans="1:9" ht="12.75">
      <c r="A69"/>
      <c r="B69"/>
      <c r="C69"/>
      <c r="D69"/>
      <c r="F69"/>
      <c r="G69"/>
      <c r="H69"/>
      <c r="I69"/>
    </row>
    <row r="70" spans="1:9" ht="12.75">
      <c r="A70"/>
      <c r="B70"/>
      <c r="C70"/>
      <c r="D70"/>
      <c r="F70"/>
      <c r="G70"/>
      <c r="H70"/>
      <c r="I70"/>
    </row>
    <row r="71" spans="1:9" ht="12.75">
      <c r="A71"/>
      <c r="B71"/>
      <c r="C71"/>
      <c r="D71"/>
      <c r="F71"/>
      <c r="G71"/>
      <c r="H71"/>
      <c r="I71"/>
    </row>
    <row r="72" spans="1:9" ht="12.75">
      <c r="A72"/>
      <c r="B72"/>
      <c r="C72"/>
      <c r="D72"/>
      <c r="F72"/>
      <c r="G72"/>
      <c r="H72"/>
      <c r="I72"/>
    </row>
    <row r="73" spans="1:12" ht="12.75">
      <c r="A73"/>
      <c r="B73"/>
      <c r="C73"/>
      <c r="D73"/>
      <c r="F73"/>
      <c r="G73"/>
      <c r="H73"/>
      <c r="I73"/>
      <c r="L73"/>
    </row>
    <row r="74" spans="1:12" ht="12.75">
      <c r="A74"/>
      <c r="B74"/>
      <c r="C74"/>
      <c r="D74"/>
      <c r="F74"/>
      <c r="G74"/>
      <c r="H74"/>
      <c r="I74"/>
      <c r="L74"/>
    </row>
    <row r="75" spans="1:12" ht="12.75">
      <c r="A75"/>
      <c r="B75"/>
      <c r="C75"/>
      <c r="D75"/>
      <c r="F75"/>
      <c r="G75"/>
      <c r="H75"/>
      <c r="I75"/>
      <c r="L75"/>
    </row>
    <row r="76" spans="1:12" ht="12.75">
      <c r="A76"/>
      <c r="B76"/>
      <c r="C76"/>
      <c r="D76"/>
      <c r="F76"/>
      <c r="G76"/>
      <c r="H76"/>
      <c r="I76"/>
      <c r="L76"/>
    </row>
    <row r="77" spans="1:12" ht="12.75">
      <c r="A77"/>
      <c r="B77"/>
      <c r="C77"/>
      <c r="D77"/>
      <c r="F77"/>
      <c r="G77"/>
      <c r="H77"/>
      <c r="I77"/>
      <c r="L77"/>
    </row>
    <row r="78" spans="1:12" ht="12.75">
      <c r="A78"/>
      <c r="B78"/>
      <c r="C78"/>
      <c r="D78"/>
      <c r="F78"/>
      <c r="G78"/>
      <c r="H78"/>
      <c r="I78"/>
      <c r="L78"/>
    </row>
    <row r="79" spans="1:12" ht="12.75">
      <c r="A79"/>
      <c r="B79"/>
      <c r="C79"/>
      <c r="D79"/>
      <c r="F79"/>
      <c r="G79"/>
      <c r="H79"/>
      <c r="I79"/>
      <c r="L79"/>
    </row>
    <row r="80" spans="1:12" ht="12.75">
      <c r="A80"/>
      <c r="B80"/>
      <c r="C80"/>
      <c r="D80"/>
      <c r="F80"/>
      <c r="G80"/>
      <c r="H80"/>
      <c r="I80"/>
      <c r="L80"/>
    </row>
    <row r="81" spans="1:12" ht="12.75">
      <c r="A81"/>
      <c r="B81"/>
      <c r="C81"/>
      <c r="D81"/>
      <c r="F81"/>
      <c r="G81"/>
      <c r="H81"/>
      <c r="I81"/>
      <c r="L81"/>
    </row>
    <row r="82" spans="1:12" ht="12.75">
      <c r="A82"/>
      <c r="B82"/>
      <c r="C82"/>
      <c r="D82"/>
      <c r="F82"/>
      <c r="G82"/>
      <c r="H82"/>
      <c r="I82"/>
      <c r="L82"/>
    </row>
    <row r="83" spans="1:12" ht="12.75">
      <c r="A83"/>
      <c r="B83"/>
      <c r="C83"/>
      <c r="D83"/>
      <c r="F83"/>
      <c r="G83"/>
      <c r="H83"/>
      <c r="I83"/>
      <c r="L83"/>
    </row>
    <row r="84" spans="1:12" ht="12.75">
      <c r="A84"/>
      <c r="B84"/>
      <c r="C84"/>
      <c r="D84"/>
      <c r="F84"/>
      <c r="G84"/>
      <c r="H84"/>
      <c r="I84"/>
      <c r="L84"/>
    </row>
    <row r="85" spans="1:12" ht="12.75">
      <c r="A85"/>
      <c r="B85"/>
      <c r="C85"/>
      <c r="D85"/>
      <c r="F85"/>
      <c r="G85"/>
      <c r="H85"/>
      <c r="I85"/>
      <c r="L85"/>
    </row>
    <row r="86" spans="1:12" ht="12.75">
      <c r="A86"/>
      <c r="B86"/>
      <c r="C86"/>
      <c r="D86"/>
      <c r="F86"/>
      <c r="G86"/>
      <c r="H86"/>
      <c r="I86"/>
      <c r="L86"/>
    </row>
    <row r="87" spans="1:12" ht="12.75">
      <c r="A87"/>
      <c r="B87"/>
      <c r="C87"/>
      <c r="D87"/>
      <c r="F87"/>
      <c r="G87"/>
      <c r="H87"/>
      <c r="I87"/>
      <c r="L87"/>
    </row>
    <row r="88" spans="1:12" ht="12.75">
      <c r="A88"/>
      <c r="B88"/>
      <c r="C88"/>
      <c r="D88"/>
      <c r="F88"/>
      <c r="G88"/>
      <c r="H88"/>
      <c r="I88"/>
      <c r="L88"/>
    </row>
    <row r="89" spans="1:12" ht="12.75">
      <c r="A89"/>
      <c r="B89"/>
      <c r="C89"/>
      <c r="D89"/>
      <c r="F89"/>
      <c r="G89"/>
      <c r="H89"/>
      <c r="I89"/>
      <c r="L89"/>
    </row>
    <row r="90" spans="1:12" ht="12.75">
      <c r="A90"/>
      <c r="B90"/>
      <c r="C90"/>
      <c r="D90"/>
      <c r="F90"/>
      <c r="G90"/>
      <c r="H90"/>
      <c r="I90"/>
      <c r="L90"/>
    </row>
    <row r="91" spans="1:12" ht="12.75">
      <c r="A91"/>
      <c r="B91"/>
      <c r="C91"/>
      <c r="D91"/>
      <c r="F91"/>
      <c r="G91"/>
      <c r="H91"/>
      <c r="I91"/>
      <c r="L91"/>
    </row>
    <row r="92" spans="1:12" ht="12.75">
      <c r="A92"/>
      <c r="B92"/>
      <c r="C92"/>
      <c r="D92"/>
      <c r="F92"/>
      <c r="G92"/>
      <c r="H92"/>
      <c r="I92"/>
      <c r="L92"/>
    </row>
    <row r="93" spans="1:12" ht="12.75">
      <c r="A93"/>
      <c r="B93"/>
      <c r="C93"/>
      <c r="D93"/>
      <c r="F93"/>
      <c r="G93"/>
      <c r="H93"/>
      <c r="I93"/>
      <c r="L93"/>
    </row>
    <row r="94" spans="1:12" ht="12.75">
      <c r="A94"/>
      <c r="B94"/>
      <c r="C94"/>
      <c r="D94"/>
      <c r="F94"/>
      <c r="G94"/>
      <c r="H94"/>
      <c r="I94"/>
      <c r="L94"/>
    </row>
    <row r="95" spans="1:12" ht="12.75">
      <c r="A95"/>
      <c r="B95"/>
      <c r="C95"/>
      <c r="D95"/>
      <c r="F95"/>
      <c r="G95"/>
      <c r="H95"/>
      <c r="I95"/>
      <c r="L95"/>
    </row>
    <row r="96" spans="1:12" ht="12.75">
      <c r="A96"/>
      <c r="B96"/>
      <c r="C96"/>
      <c r="D96"/>
      <c r="F96"/>
      <c r="G96"/>
      <c r="H96"/>
      <c r="I96"/>
      <c r="L96"/>
    </row>
  </sheetData>
  <sheetProtection selectLockedCells="1" selectUnlockedCells="1"/>
  <printOptions horizontalCentered="1" verticalCentered="1"/>
  <pageMargins left="0.5513888888888889" right="0.5513888888888889" top="0.6694444444444445" bottom="0.6694444444444445" header="0.2361111111111111" footer="0.27569444444444446"/>
  <pageSetup horizontalDpi="300" verticalDpi="300" orientation="portrait"/>
  <headerFooter alignWithMargins="0">
    <oddHeader>&amp;L&amp;8&amp;A&amp;C&amp;"Arial,Bold"Island 600 km BREVET
"Pacific Rim"&amp;R&amp;8Page &amp;P of &amp;N</oddHeader>
    <oddFooter>&amp;L&amp;8L = Left
SO = Straight on
R = Right&amp;CBC Randonneurs Cycling Club
&amp;8Affiliated with &amp;"Arial,Italic"Cycling BC
&amp;"Arial,Regular"Founding member of&amp;"Arial,Italic" Les Randonneurs Mondiaux&amp;RMsg: (250) 248-8377
Cel: (250) 361-7622</oddFooter>
  </headerFooter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C49" sqref="C49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32.57421875" style="0" customWidth="1"/>
    <col min="4" max="4" width="6.140625" style="0" customWidth="1"/>
    <col min="5" max="5" width="16.8515625" style="1" customWidth="1"/>
    <col min="6" max="16384" width="8.8515625" style="0" customWidth="1"/>
  </cols>
  <sheetData>
    <row r="1" spans="1:4" ht="60.75">
      <c r="A1" s="131" t="s">
        <v>253</v>
      </c>
      <c r="B1" s="132" t="s">
        <v>254</v>
      </c>
      <c r="C1" s="133" t="s">
        <v>255</v>
      </c>
      <c r="D1" s="134" t="s">
        <v>256</v>
      </c>
    </row>
    <row r="2" spans="1:4" ht="12.75">
      <c r="A2" s="135"/>
      <c r="B2" s="136"/>
      <c r="C2" s="137" t="s">
        <v>257</v>
      </c>
      <c r="D2" s="138"/>
    </row>
    <row r="3" spans="1:4" ht="12.75">
      <c r="A3" s="139"/>
      <c r="B3" s="143"/>
      <c r="C3" s="137" t="s">
        <v>260</v>
      </c>
      <c r="D3" s="142"/>
    </row>
    <row r="4" spans="1:4" ht="12.75">
      <c r="A4" s="135"/>
      <c r="B4" s="136"/>
      <c r="C4" s="136"/>
      <c r="D4" s="138"/>
    </row>
    <row r="5" spans="1:4" ht="12.75">
      <c r="A5" s="139"/>
      <c r="B5" s="143" t="s">
        <v>263</v>
      </c>
      <c r="C5" s="144" t="s">
        <v>265</v>
      </c>
      <c r="D5" s="142">
        <v>2.9</v>
      </c>
    </row>
    <row r="6" spans="1:4" ht="12.75">
      <c r="A6" s="139">
        <f>A2+D5</f>
        <v>2.9</v>
      </c>
      <c r="B6" s="143" t="s">
        <v>261</v>
      </c>
      <c r="C6" s="141" t="s">
        <v>267</v>
      </c>
      <c r="D6" s="142">
        <v>9.9</v>
      </c>
    </row>
    <row r="7" spans="1:5" ht="12.75">
      <c r="A7" s="139">
        <f>A6+D6</f>
        <v>12.8</v>
      </c>
      <c r="B7" s="140" t="s">
        <v>263</v>
      </c>
      <c r="C7" s="144" t="s">
        <v>269</v>
      </c>
      <c r="D7" s="142">
        <v>35.2</v>
      </c>
      <c r="E7"/>
    </row>
    <row r="8" spans="1:4" ht="12.75">
      <c r="A8" s="135"/>
      <c r="B8" s="136"/>
      <c r="C8" s="136"/>
      <c r="D8" s="142"/>
    </row>
    <row r="9" spans="1:4" ht="12.75">
      <c r="A9" s="135">
        <f>A7+D7</f>
        <v>48</v>
      </c>
      <c r="B9" s="136" t="s">
        <v>263</v>
      </c>
      <c r="C9" s="136" t="s">
        <v>272</v>
      </c>
      <c r="D9" s="142"/>
    </row>
    <row r="10" spans="1:4" ht="12.75">
      <c r="A10" s="139"/>
      <c r="B10" s="143"/>
      <c r="C10" s="136" t="s">
        <v>273</v>
      </c>
      <c r="D10" s="142"/>
    </row>
    <row r="11" spans="1:4" ht="12.75">
      <c r="A11" s="139"/>
      <c r="B11" s="143"/>
      <c r="C11" s="144"/>
      <c r="D11" s="142"/>
    </row>
    <row r="12" spans="1:4" ht="12.75">
      <c r="A12" s="135"/>
      <c r="B12" s="136"/>
      <c r="C12" s="176" t="s">
        <v>274</v>
      </c>
      <c r="D12" s="138"/>
    </row>
    <row r="13" spans="1:4" ht="12.75">
      <c r="A13" s="139"/>
      <c r="B13" s="136"/>
      <c r="C13" s="136"/>
      <c r="D13" s="138"/>
    </row>
    <row r="14" spans="1:4" ht="12.75">
      <c r="A14" s="139">
        <f>A9</f>
        <v>48</v>
      </c>
      <c r="B14" s="140" t="s">
        <v>263</v>
      </c>
      <c r="C14" s="141" t="s">
        <v>277</v>
      </c>
      <c r="D14" s="142">
        <v>0.2</v>
      </c>
    </row>
    <row r="15" spans="1:4" ht="12.75">
      <c r="A15" s="139">
        <f>A14+D14</f>
        <v>48.2</v>
      </c>
      <c r="B15" s="140" t="s">
        <v>270</v>
      </c>
      <c r="C15" s="141" t="s">
        <v>266</v>
      </c>
      <c r="D15" s="142">
        <v>2.7</v>
      </c>
    </row>
    <row r="16" spans="1:4" ht="12.75">
      <c r="A16" s="139">
        <f>A15+D15</f>
        <v>50.900000000000006</v>
      </c>
      <c r="B16" s="140" t="s">
        <v>261</v>
      </c>
      <c r="C16" s="141" t="s">
        <v>280</v>
      </c>
      <c r="D16" s="142">
        <v>88.2</v>
      </c>
    </row>
    <row r="17" spans="1:4" ht="12.75">
      <c r="A17" s="139">
        <f>A16+D16</f>
        <v>139.10000000000002</v>
      </c>
      <c r="B17" s="140" t="s">
        <v>270</v>
      </c>
      <c r="C17" s="141" t="s">
        <v>282</v>
      </c>
      <c r="D17" s="142">
        <v>29.7</v>
      </c>
    </row>
    <row r="18" spans="1:4" ht="12.75">
      <c r="A18" s="139">
        <f>A17+D17</f>
        <v>168.8</v>
      </c>
      <c r="B18" s="140" t="s">
        <v>261</v>
      </c>
      <c r="C18" s="141" t="s">
        <v>284</v>
      </c>
      <c r="D18" s="142">
        <v>3.2</v>
      </c>
    </row>
    <row r="19" spans="1:4" ht="12.75">
      <c r="A19" s="139"/>
      <c r="B19" s="140"/>
      <c r="C19" s="141"/>
      <c r="D19" s="142"/>
    </row>
    <row r="20" spans="1:4" ht="12.75">
      <c r="A20" s="135">
        <f>A18+D18</f>
        <v>172</v>
      </c>
      <c r="B20" s="140"/>
      <c r="C20" s="137" t="s">
        <v>286</v>
      </c>
      <c r="D20" s="142"/>
    </row>
    <row r="21" spans="1:4" ht="12.75">
      <c r="A21" s="139"/>
      <c r="B21" s="140"/>
      <c r="C21" s="137" t="s">
        <v>288</v>
      </c>
      <c r="D21" s="142"/>
    </row>
    <row r="22" spans="1:5" ht="12.75">
      <c r="A22" s="139"/>
      <c r="B22" s="143"/>
      <c r="C22" s="144"/>
      <c r="D22" s="142"/>
      <c r="E22"/>
    </row>
    <row r="23" spans="1:4" ht="12.75">
      <c r="A23" s="177"/>
      <c r="B23" s="178"/>
      <c r="C23" s="179"/>
      <c r="D23" s="180"/>
    </row>
    <row r="24" spans="1:4" ht="12.75">
      <c r="A24" s="139">
        <f>A20</f>
        <v>172</v>
      </c>
      <c r="B24" s="140" t="s">
        <v>258</v>
      </c>
      <c r="C24" s="141" t="s">
        <v>259</v>
      </c>
      <c r="D24" s="142">
        <v>3.2</v>
      </c>
    </row>
    <row r="25" spans="1:4" ht="12.75">
      <c r="A25" s="139">
        <f>A24+D24</f>
        <v>175.2</v>
      </c>
      <c r="B25" s="140" t="s">
        <v>261</v>
      </c>
      <c r="C25" s="141" t="s">
        <v>262</v>
      </c>
      <c r="D25" s="142">
        <v>29.7</v>
      </c>
    </row>
    <row r="26" spans="1:4" ht="12.75">
      <c r="A26" s="139">
        <f>A25+D25</f>
        <v>204.89999999999998</v>
      </c>
      <c r="B26" s="140" t="s">
        <v>263</v>
      </c>
      <c r="C26" s="141" t="s">
        <v>264</v>
      </c>
      <c r="D26" s="142">
        <v>88.2</v>
      </c>
    </row>
    <row r="27" spans="1:4" ht="12.75">
      <c r="A27" s="139">
        <f>A26+D26</f>
        <v>293.09999999999997</v>
      </c>
      <c r="B27" s="140" t="s">
        <v>261</v>
      </c>
      <c r="C27" s="141" t="s">
        <v>266</v>
      </c>
      <c r="D27" s="142">
        <v>2.7</v>
      </c>
    </row>
    <row r="28" spans="1:4" ht="12.75">
      <c r="A28" s="139">
        <f>A27+D27</f>
        <v>295.79999999999995</v>
      </c>
      <c r="B28" s="140" t="s">
        <v>263</v>
      </c>
      <c r="C28" s="141" t="s">
        <v>268</v>
      </c>
      <c r="D28" s="142">
        <v>0.2</v>
      </c>
    </row>
    <row r="29" spans="1:4" ht="12.75">
      <c r="A29" s="139"/>
      <c r="B29" s="140"/>
      <c r="C29" s="141"/>
      <c r="D29" s="142"/>
    </row>
    <row r="30" spans="1:4" ht="12.75">
      <c r="A30" s="145">
        <f>A28+D28</f>
        <v>295.99999999999994</v>
      </c>
      <c r="B30" s="146" t="s">
        <v>270</v>
      </c>
      <c r="C30" s="137" t="s">
        <v>271</v>
      </c>
      <c r="D30" s="138"/>
    </row>
    <row r="31" spans="1:4" ht="12.75">
      <c r="A31" s="135"/>
      <c r="B31" s="137"/>
      <c r="C31" s="137" t="s">
        <v>273</v>
      </c>
      <c r="D31" s="138"/>
    </row>
    <row r="32" spans="1:4" ht="12.75">
      <c r="A32" s="139"/>
      <c r="B32" s="140"/>
      <c r="C32" s="140"/>
      <c r="D32" s="142"/>
    </row>
    <row r="33" spans="1:4" ht="12.75">
      <c r="A33" s="139">
        <f>A30</f>
        <v>295.99999999999994</v>
      </c>
      <c r="B33" s="140" t="s">
        <v>270</v>
      </c>
      <c r="C33" s="141" t="s">
        <v>268</v>
      </c>
      <c r="D33" s="142">
        <v>35.2</v>
      </c>
    </row>
    <row r="34" spans="1:4" ht="12.75">
      <c r="A34" s="139">
        <f aca="true" t="shared" si="0" ref="A34:A39">A33+D33</f>
        <v>331.19999999999993</v>
      </c>
      <c r="B34" s="140" t="s">
        <v>270</v>
      </c>
      <c r="C34" s="141" t="s">
        <v>275</v>
      </c>
      <c r="D34" s="142">
        <v>9.1</v>
      </c>
    </row>
    <row r="35" spans="1:4" ht="12.75">
      <c r="A35" s="139">
        <f t="shared" si="0"/>
        <v>340.29999999999995</v>
      </c>
      <c r="B35" s="140" t="s">
        <v>270</v>
      </c>
      <c r="C35" s="141" t="s">
        <v>276</v>
      </c>
      <c r="D35" s="142">
        <v>22.4</v>
      </c>
    </row>
    <row r="36" spans="1:4" ht="12.75">
      <c r="A36" s="139">
        <f t="shared" si="0"/>
        <v>362.69999999999993</v>
      </c>
      <c r="B36" s="140" t="s">
        <v>270</v>
      </c>
      <c r="C36" s="141" t="s">
        <v>278</v>
      </c>
      <c r="D36" s="142">
        <v>0.7</v>
      </c>
    </row>
    <row r="37" spans="1:4" ht="12.75">
      <c r="A37" s="139">
        <f t="shared" si="0"/>
        <v>363.3999999999999</v>
      </c>
      <c r="B37" s="148" t="s">
        <v>261</v>
      </c>
      <c r="C37" s="149" t="s">
        <v>279</v>
      </c>
      <c r="D37" s="150">
        <v>0.7</v>
      </c>
    </row>
    <row r="38" spans="1:4" ht="12.75">
      <c r="A38" s="139">
        <f t="shared" si="0"/>
        <v>364.0999999999999</v>
      </c>
      <c r="B38" s="140" t="s">
        <v>263</v>
      </c>
      <c r="C38" s="141" t="s">
        <v>281</v>
      </c>
      <c r="D38" s="142">
        <v>0.1</v>
      </c>
    </row>
    <row r="39" spans="1:4" ht="12.75">
      <c r="A39" s="139">
        <f t="shared" si="0"/>
        <v>364.19999999999993</v>
      </c>
      <c r="B39" s="148" t="s">
        <v>263</v>
      </c>
      <c r="C39" s="149" t="s">
        <v>283</v>
      </c>
      <c r="D39" s="150">
        <v>0</v>
      </c>
    </row>
    <row r="40" spans="1:4" ht="12.75">
      <c r="A40" s="139"/>
      <c r="B40" s="140"/>
      <c r="C40" s="137"/>
      <c r="D40" s="142"/>
    </row>
    <row r="41" spans="1:5" ht="12.75">
      <c r="A41" s="145">
        <f>A39+D39</f>
        <v>364.19999999999993</v>
      </c>
      <c r="B41" s="146" t="s">
        <v>263</v>
      </c>
      <c r="C41" s="137" t="s">
        <v>285</v>
      </c>
      <c r="D41" s="138"/>
      <c r="E41"/>
    </row>
    <row r="42" spans="1:4" ht="12.75">
      <c r="A42" s="135"/>
      <c r="B42" s="137"/>
      <c r="C42" s="137" t="s">
        <v>287</v>
      </c>
      <c r="D42" s="138"/>
    </row>
    <row r="43" spans="1:4" ht="12.75">
      <c r="A43" s="151"/>
      <c r="B43" s="148"/>
      <c r="C43" s="152" t="s">
        <v>289</v>
      </c>
      <c r="D43" s="150"/>
    </row>
    <row r="44" spans="1:4" ht="12.75">
      <c r="A44" s="151"/>
      <c r="B44" s="148"/>
      <c r="C44" s="141"/>
      <c r="D44" s="150"/>
    </row>
    <row r="45" spans="1:4" ht="12.75">
      <c r="A45" s="139">
        <f>A41</f>
        <v>364.19999999999993</v>
      </c>
      <c r="B45" s="143" t="s">
        <v>263</v>
      </c>
      <c r="C45" s="144" t="s">
        <v>290</v>
      </c>
      <c r="D45" s="142">
        <v>0</v>
      </c>
    </row>
    <row r="46" spans="1:4" ht="12.75">
      <c r="A46" s="151">
        <f aca="true" t="shared" si="1" ref="A46:A51">A45+D45</f>
        <v>364.19999999999993</v>
      </c>
      <c r="B46" s="163" t="s">
        <v>270</v>
      </c>
      <c r="C46" s="164" t="s">
        <v>281</v>
      </c>
      <c r="D46" s="150">
        <v>0.1</v>
      </c>
    </row>
    <row r="47" spans="1:4" ht="12.75">
      <c r="A47" s="151">
        <f t="shared" si="1"/>
        <v>364.29999999999995</v>
      </c>
      <c r="B47" s="163" t="s">
        <v>270</v>
      </c>
      <c r="C47" s="164" t="s">
        <v>293</v>
      </c>
      <c r="D47" s="150">
        <v>0.7</v>
      </c>
    </row>
    <row r="48" spans="1:4" ht="12.75">
      <c r="A48" s="151">
        <f t="shared" si="1"/>
        <v>364.99999999999994</v>
      </c>
      <c r="B48" s="143" t="s">
        <v>261</v>
      </c>
      <c r="C48" s="144" t="s">
        <v>295</v>
      </c>
      <c r="D48" s="142">
        <v>16.9</v>
      </c>
    </row>
    <row r="49" spans="1:5" ht="12.75">
      <c r="A49" s="151">
        <f t="shared" si="1"/>
        <v>381.8999999999999</v>
      </c>
      <c r="B49" s="163" t="s">
        <v>270</v>
      </c>
      <c r="C49" s="164" t="s">
        <v>319</v>
      </c>
      <c r="D49" s="150">
        <v>5.5</v>
      </c>
      <c r="E49"/>
    </row>
    <row r="50" spans="1:4" ht="12.75">
      <c r="A50" s="151">
        <f t="shared" si="1"/>
        <v>387.3999999999999</v>
      </c>
      <c r="B50" s="163" t="s">
        <v>261</v>
      </c>
      <c r="C50" s="164" t="s">
        <v>299</v>
      </c>
      <c r="D50" s="150">
        <v>10.9</v>
      </c>
    </row>
    <row r="51" spans="1:4" ht="12.75">
      <c r="A51" s="151">
        <f t="shared" si="1"/>
        <v>398.2999999999999</v>
      </c>
      <c r="B51" s="148" t="s">
        <v>263</v>
      </c>
      <c r="C51" s="149" t="s">
        <v>301</v>
      </c>
      <c r="D51" s="150">
        <v>0</v>
      </c>
    </row>
    <row r="52" spans="1:4" ht="12.75">
      <c r="A52" s="151"/>
      <c r="B52" s="148"/>
      <c r="C52" s="149"/>
      <c r="D52" s="150"/>
    </row>
    <row r="53" spans="1:4" ht="12.75">
      <c r="A53" s="167">
        <f>A51+D51</f>
        <v>398.2999999999999</v>
      </c>
      <c r="B53" s="168" t="s">
        <v>270</v>
      </c>
      <c r="C53" s="168" t="s">
        <v>304</v>
      </c>
      <c r="D53" s="169"/>
    </row>
    <row r="54" spans="1:4" ht="12.75">
      <c r="A54" s="151"/>
      <c r="B54" s="148"/>
      <c r="C54" s="152" t="s">
        <v>305</v>
      </c>
      <c r="D54" s="150"/>
    </row>
    <row r="55" spans="1:4" ht="12.75">
      <c r="A55" s="151"/>
      <c r="B55" s="140"/>
      <c r="C55" s="141"/>
      <c r="D55" s="142"/>
    </row>
    <row r="56" spans="1:4" ht="12.75">
      <c r="A56" s="151"/>
      <c r="B56" s="163" t="s">
        <v>263</v>
      </c>
      <c r="C56" s="164" t="s">
        <v>308</v>
      </c>
      <c r="D56" s="150">
        <v>0</v>
      </c>
    </row>
    <row r="57" spans="1:4" ht="12.75">
      <c r="A57" s="151">
        <f>A53+D56</f>
        <v>398.2999999999999</v>
      </c>
      <c r="B57" s="148" t="s">
        <v>263</v>
      </c>
      <c r="C57" s="161" t="s">
        <v>309</v>
      </c>
      <c r="D57" s="150">
        <v>59.5</v>
      </c>
    </row>
    <row r="58" spans="1:4" ht="12.75">
      <c r="A58" s="151">
        <f>A57+D57</f>
        <v>457.7999999999999</v>
      </c>
      <c r="B58" s="148" t="s">
        <v>261</v>
      </c>
      <c r="C58" s="164" t="s">
        <v>310</v>
      </c>
      <c r="D58" s="150">
        <v>1.5</v>
      </c>
    </row>
    <row r="59" spans="1:4" ht="12.75">
      <c r="A59" s="151">
        <f>A58+D58</f>
        <v>459.2999999999999</v>
      </c>
      <c r="B59" s="148" t="s">
        <v>270</v>
      </c>
      <c r="C59" s="164" t="s">
        <v>311</v>
      </c>
      <c r="D59" s="150">
        <v>0.3</v>
      </c>
    </row>
    <row r="60" spans="1:4" ht="12.75">
      <c r="A60" s="151">
        <f>A59+D59</f>
        <v>459.5999999999999</v>
      </c>
      <c r="B60" s="148" t="s">
        <v>263</v>
      </c>
      <c r="C60" s="164" t="s">
        <v>312</v>
      </c>
      <c r="D60" s="150">
        <v>1.6</v>
      </c>
    </row>
    <row r="61" spans="1:4" ht="12.75">
      <c r="A61" s="151">
        <f>A60+D60</f>
        <v>461.19999999999993</v>
      </c>
      <c r="B61" s="148" t="s">
        <v>270</v>
      </c>
      <c r="C61" s="161" t="s">
        <v>313</v>
      </c>
      <c r="D61" s="150">
        <v>34.4</v>
      </c>
    </row>
    <row r="62" spans="1:4" ht="12.75">
      <c r="A62" s="151"/>
      <c r="B62" s="148"/>
      <c r="C62" s="149" t="s">
        <v>314</v>
      </c>
      <c r="D62" s="150"/>
    </row>
    <row r="63" spans="1:5" ht="12.75">
      <c r="A63" s="151">
        <f>A61+D61</f>
        <v>495.5999999999999</v>
      </c>
      <c r="B63" s="148" t="s">
        <v>261</v>
      </c>
      <c r="C63" s="149" t="s">
        <v>315</v>
      </c>
      <c r="D63" s="150">
        <v>3.4</v>
      </c>
      <c r="E63"/>
    </row>
    <row r="64" spans="1:4" ht="12.75">
      <c r="A64" s="151"/>
      <c r="B64" s="148"/>
      <c r="C64" s="149"/>
      <c r="D64" s="150"/>
    </row>
    <row r="65" spans="1:4" ht="12.75">
      <c r="A65" s="167">
        <f>A63+D63</f>
        <v>498.9999999999999</v>
      </c>
      <c r="B65" s="152" t="s">
        <v>263</v>
      </c>
      <c r="C65" s="152" t="s">
        <v>320</v>
      </c>
      <c r="D65" s="169"/>
    </row>
    <row r="66" spans="1:4" ht="12.75">
      <c r="A66" s="181"/>
      <c r="B66" s="182"/>
      <c r="C66" s="183" t="s">
        <v>318</v>
      </c>
      <c r="D66" s="184"/>
    </row>
    <row r="67" spans="1:4" ht="12.75">
      <c r="A67" s="177"/>
      <c r="B67" s="178"/>
      <c r="C67" s="179"/>
      <c r="D67" s="180"/>
    </row>
    <row r="68" spans="1:4" ht="12.75">
      <c r="A68" s="151">
        <f>A65</f>
        <v>498.9999999999999</v>
      </c>
      <c r="B68" s="178"/>
      <c r="C68" s="161" t="s">
        <v>291</v>
      </c>
      <c r="D68" s="150">
        <v>3.4</v>
      </c>
    </row>
    <row r="69" spans="2:4" ht="12.75">
      <c r="B69" s="160" t="s">
        <v>270</v>
      </c>
      <c r="C69" s="161" t="s">
        <v>292</v>
      </c>
      <c r="D69" s="185"/>
    </row>
    <row r="70" spans="1:4" ht="12.75">
      <c r="A70" s="151">
        <f>A68+D68</f>
        <v>502.39999999999986</v>
      </c>
      <c r="B70" s="160" t="s">
        <v>261</v>
      </c>
      <c r="C70" s="144" t="s">
        <v>294</v>
      </c>
      <c r="D70" s="150">
        <v>34.4</v>
      </c>
    </row>
    <row r="71" spans="1:4" ht="12.75">
      <c r="A71" s="151">
        <f>A70+D70</f>
        <v>536.7999999999998</v>
      </c>
      <c r="B71" s="148" t="s">
        <v>261</v>
      </c>
      <c r="C71" s="144" t="s">
        <v>296</v>
      </c>
      <c r="D71" s="150">
        <v>1.6</v>
      </c>
    </row>
    <row r="72" spans="1:4" ht="12.75">
      <c r="A72" s="151">
        <f>A71+D71</f>
        <v>538.3999999999999</v>
      </c>
      <c r="B72" s="148" t="s">
        <v>263</v>
      </c>
      <c r="C72" s="144" t="s">
        <v>298</v>
      </c>
      <c r="D72" s="142">
        <v>0.3</v>
      </c>
    </row>
    <row r="73" spans="1:4" ht="12.75">
      <c r="A73" s="151">
        <f>A72+D72</f>
        <v>538.6999999999998</v>
      </c>
      <c r="B73" s="143" t="s">
        <v>270</v>
      </c>
      <c r="C73" s="164" t="s">
        <v>300</v>
      </c>
      <c r="D73" s="150">
        <v>1.5</v>
      </c>
    </row>
    <row r="74" spans="1:4" ht="12.75">
      <c r="A74" s="151">
        <f>A73+D73</f>
        <v>540.1999999999998</v>
      </c>
      <c r="B74" s="163" t="s">
        <v>263</v>
      </c>
      <c r="C74" s="164" t="s">
        <v>302</v>
      </c>
      <c r="D74" s="150">
        <v>59.5</v>
      </c>
    </row>
    <row r="75" spans="1:4" ht="12.75">
      <c r="A75" s="151">
        <f>A74+D74</f>
        <v>599.6999999999998</v>
      </c>
      <c r="B75" s="163" t="s">
        <v>261</v>
      </c>
      <c r="C75" s="165" t="s">
        <v>303</v>
      </c>
      <c r="D75" s="166">
        <v>10.9</v>
      </c>
    </row>
    <row r="76" spans="1:4" ht="12.75">
      <c r="A76" s="151"/>
      <c r="B76" s="163"/>
      <c r="C76" s="171"/>
      <c r="D76" s="185"/>
    </row>
    <row r="77" spans="1:4" ht="12.75">
      <c r="A77" s="151"/>
      <c r="B77" s="163"/>
      <c r="C77" s="171"/>
      <c r="D77" s="166"/>
    </row>
    <row r="78" spans="1:4" ht="12.75">
      <c r="A78" s="170"/>
      <c r="B78" s="163"/>
      <c r="C78" s="172" t="s">
        <v>306</v>
      </c>
      <c r="D78" s="166"/>
    </row>
    <row r="79" spans="1:4" ht="12.75">
      <c r="A79" s="167">
        <f>A75+D75</f>
        <v>610.5999999999998</v>
      </c>
      <c r="B79" s="168" t="s">
        <v>270</v>
      </c>
      <c r="C79" s="172" t="s">
        <v>307</v>
      </c>
      <c r="D79" s="166"/>
    </row>
    <row r="80" spans="1:4" ht="12.75">
      <c r="A80" s="151"/>
      <c r="B80" s="148"/>
      <c r="C80" s="144"/>
      <c r="D80" s="166"/>
    </row>
    <row r="81" spans="1:4" ht="12.75">
      <c r="A81" s="139"/>
      <c r="B81" s="143"/>
      <c r="C81" s="174" t="s">
        <v>317</v>
      </c>
      <c r="D81" s="142"/>
    </row>
    <row r="82" spans="1:4" ht="12.75">
      <c r="A82" s="186"/>
      <c r="B82" s="187"/>
      <c r="C82" s="188"/>
      <c r="D82" s="189"/>
    </row>
    <row r="83" ht="12.75">
      <c r="E83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Raymond Parker</cp:lastModifiedBy>
  <cp:lastPrinted>2007-05-25T01:37:53Z</cp:lastPrinted>
  <dcterms:created xsi:type="dcterms:W3CDTF">1997-11-12T04:43:39Z</dcterms:created>
  <dcterms:modified xsi:type="dcterms:W3CDTF">2009-12-20T00:12:51Z</dcterms:modified>
  <cp:category/>
  <cp:version/>
  <cp:contentType/>
  <cp:contentStatus/>
</cp:coreProperties>
</file>