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2" activeTab="3"/>
  </bookViews>
  <sheets>
    <sheet name="Control Entry" sheetId="1" r:id="rId1"/>
    <sheet name="Control Sheet" sheetId="2" r:id="rId2"/>
    <sheet name="Riders" sheetId="3" r:id="rId3"/>
    <sheet name="VI0608A" sheetId="4" r:id="rId4"/>
    <sheet name="Web Page" sheetId="5" r:id="rId5"/>
    <sheet name="Web results" sheetId="6" r:id="rId6"/>
  </sheets>
  <definedNames>
    <definedName name="_xlnm.Print_Titles" localSheetId="1">'Control Sheet'!$1:$2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<sst xmlns="http://schemas.openxmlformats.org/spreadsheetml/2006/main" count="423" uniqueCount="172">
  <si>
    <t>Brevet Length:</t>
  </si>
  <si>
    <t>Maximum Time:</t>
  </si>
  <si>
    <t>Brevet Description:</t>
  </si>
  <si>
    <t>Northward Ho</t>
  </si>
  <si>
    <t>Brevet Number:</t>
  </si>
  <si>
    <t>VI0608A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</si>
  <si>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</si>
  <si>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</si>
  <si>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</si>
  <si>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</si>
  <si>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</si>
  <si>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</si>
  <si>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</si>
  <si>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</si>
  <si>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</si>
  <si>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</si>
  <si>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</si>
  <si>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</si>
  <si>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</si>
  <si>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CAMPBELL RIVER</t>
  </si>
  <si>
    <t>Mohawk Gas</t>
  </si>
  <si>
    <t>Island Hwy@</t>
  </si>
  <si>
    <t>Redwood</t>
  </si>
  <si>
    <t>Control 2</t>
  </si>
  <si>
    <t>BUCKLEY BAY</t>
  </si>
  <si>
    <t>Petrocan</t>
  </si>
  <si>
    <t>Buckley Bay@</t>
  </si>
  <si>
    <t>Highway #19A</t>
  </si>
  <si>
    <t>Control 3</t>
  </si>
  <si>
    <t>Control 4</t>
  </si>
  <si>
    <t>SAYWARD JUNCTION</t>
  </si>
  <si>
    <t>Gas &amp; Store</t>
  </si>
  <si>
    <t>Sayward@</t>
  </si>
  <si>
    <t>Highway #19</t>
  </si>
  <si>
    <t>Control 5</t>
  </si>
  <si>
    <t xml:space="preserve">WOSS </t>
  </si>
  <si>
    <t>Your Choice</t>
  </si>
  <si>
    <t>or Self Check</t>
  </si>
  <si>
    <t>Control 6</t>
  </si>
  <si>
    <t>PORT HARDY</t>
  </si>
  <si>
    <t>Chevron Gas</t>
  </si>
  <si>
    <t>Rupert@</t>
  </si>
  <si>
    <t>Granville</t>
  </si>
  <si>
    <t>Control 7</t>
  </si>
  <si>
    <t>Control 8</t>
  </si>
  <si>
    <t>Control 9</t>
  </si>
  <si>
    <t>Control 10</t>
  </si>
  <si>
    <t>SECRET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</si>
  <si>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</si>
  <si>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</si>
  <si>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</si>
  <si>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</si>
  <si>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</si>
  <si>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</si>
  <si>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</si>
  <si>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</si>
  <si>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</si>
  <si>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</si>
  <si>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</si>
  <si>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</si>
  <si>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</si>
  <si>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</si>
  <si>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</si>
  <si>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</si>
  <si>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 xml:space="preserve">Control Card 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</si>
  <si>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</si>
  <si>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</si>
  <si>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</si>
  <si>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</si>
  <si>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</si>
  <si>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</si>
  <si>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</si>
  <si>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</si>
  <si>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</si>
  <si>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</si>
  <si>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</si>
  <si>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</si>
  <si>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</si>
  <si>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</si>
  <si>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</si>
  <si>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</si>
  <si>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</si>
  <si>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</si>
  <si>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</si>
  <si>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</si>
  <si>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</si>
  <si>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</si>
  <si>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</si>
  <si>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</si>
  <si>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</si>
  <si>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</si>
  <si>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</si>
  <si>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Penalties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</si>
  <si>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</si>
  <si>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</si>
  <si>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</si>
  <si>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</si>
  <si>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</si>
  <si>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</si>
  <si>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</si>
  <si>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</si>
  <si>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</si>
  <si>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</si>
  <si>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</si>
  <si>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START--Mohawk Gas</t>
  </si>
  <si>
    <t>exit north end of lot near phone booth</t>
  </si>
  <si>
    <t>Island Hwy @ Redwood</t>
  </si>
  <si>
    <t>L</t>
  </si>
  <si>
    <t>BUCKLEY BAY FRTG (stop)</t>
  </si>
  <si>
    <t>Campbell River North</t>
  </si>
  <si>
    <t>R</t>
  </si>
  <si>
    <t>ISLAND HWY #19A North (stop)</t>
  </si>
  <si>
    <t>SO</t>
  </si>
  <si>
    <t>CLIFFE (#19A) (lights, Future Shop)</t>
  </si>
  <si>
    <t>exit lot near CR Lodge</t>
  </si>
  <si>
    <t>17th (#19A) (lights, Pizza Hut)</t>
  </si>
  <si>
    <t>cross Island Hwy</t>
  </si>
  <si>
    <t>Island HWY #19A North (lights, T)</t>
  </si>
  <si>
    <t>REDWOOD</t>
  </si>
  <si>
    <t>COMOX (@Honda)</t>
  </si>
  <si>
    <t>14th (stop, T)</t>
  </si>
  <si>
    <t>OLD ISLAND HWY (lights, T)</t>
  </si>
  <si>
    <t>cross Hwy 19 North (lights)</t>
  </si>
  <si>
    <t>HEADQUARTERS (lights, Shell)</t>
  </si>
  <si>
    <t>Inland HWY 19 South (stop, T)</t>
  </si>
  <si>
    <t>MERVILLE (stop, T)</t>
  </si>
  <si>
    <t>Exit 101 (to Denman Island Ferry)</t>
  </si>
  <si>
    <t>HOWARD (first left)</t>
  </si>
  <si>
    <t>BUCKLEY BAY (stop)</t>
  </si>
  <si>
    <t>ISLAND HWY #19 North (stop)</t>
  </si>
  <si>
    <t>cross Island Hwy (lights)</t>
  </si>
  <si>
    <t>SHOPPER ROW (lights, CIBC)</t>
  </si>
  <si>
    <t>11th (bend)</t>
  </si>
  <si>
    <t>CONTROL #1 -- Petrocan</t>
  </si>
  <si>
    <t>DOGWOOD (T, no sign)</t>
  </si>
  <si>
    <t>Buckley Bay</t>
  </si>
  <si>
    <t>16th (3rd lights)</t>
  </si>
  <si>
    <t>PETERSEN (stop)</t>
  </si>
  <si>
    <t>ISLAND HWY (stop)</t>
  </si>
  <si>
    <t>CONTROL #2 -- Mowhawk</t>
  </si>
  <si>
    <t>North Campbell River</t>
  </si>
  <si>
    <t>ISLAND HWY #19A North</t>
  </si>
  <si>
    <t>GRANVILLE (exit uphill)</t>
  </si>
  <si>
    <t>TAMARAC (Hwy #19 North)(lights)</t>
  </si>
  <si>
    <t>HWY 19 (stop, Hardy Inn)</t>
  </si>
  <si>
    <t>ISLAND HWY #19 North (@Woodburn)</t>
  </si>
  <si>
    <t>ENGLEWOOD (no sign, into Woss)</t>
  </si>
  <si>
    <t>business offramp</t>
  </si>
  <si>
    <t>CONTROL #6 -- Woss Service</t>
  </si>
  <si>
    <t>CONTROL #3 - Gas &amp; Store</t>
  </si>
  <si>
    <t>Woss</t>
  </si>
  <si>
    <t>Sayward Junction</t>
  </si>
  <si>
    <t>ENGLEWOOD</t>
  </si>
  <si>
    <t>SAYWARD (exit towards Cypress Inn)</t>
  </si>
  <si>
    <t>ISLAND HWY #19 South (stop)</t>
  </si>
  <si>
    <t>SAYWARD</t>
  </si>
  <si>
    <t>CONTROL #7 - Gas &amp; Store</t>
  </si>
  <si>
    <t>CONTROL #4 -- Woss Service</t>
  </si>
  <si>
    <t>ISLAND HWY #19A  (lights, Chevron)</t>
  </si>
  <si>
    <t>HARDY BAY (after bridge, before hill)</t>
  </si>
  <si>
    <t>RUPERT (school)</t>
  </si>
  <si>
    <t>FINISH -- Mohawk, North CR</t>
  </si>
  <si>
    <t>CONTROL #5 -- Chevron</t>
  </si>
  <si>
    <t>Rupert @ Granville, Port Hardy</t>
  </si>
  <si>
    <t>!!!CONGRATULATIONS!!!</t>
  </si>
  <si>
    <t>RIDER</t>
  </si>
  <si>
    <t>TIME</t>
  </si>
  <si>
    <t>Time is in hours and minutes.</t>
  </si>
  <si>
    <t>l   includes 1/2 hour penalty - no lights</t>
  </si>
  <si>
    <t>f   includes 1/2 hour penalty - no fenders</t>
  </si>
  <si>
    <t>e  rode 1 week early</t>
  </si>
  <si>
    <t>d  rode 1 week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</si>
</sst>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7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left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6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 locked="0"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11" fillId="0" borderId="17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1" fillId="0" borderId="17" xfId="0" applyNumberFormat="1" applyFont="1" applyBorder="1" applyAlignment="1" applyProtection="1">
      <alignment horizontal="center"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75" fontId="8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9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8" fillId="0" borderId="0" xfId="0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13" fillId="2" borderId="5" xfId="0" applyFont="1" applyFill="1" applyBorder="1" applyAlignment="1">
      <alignment/>
    </xf>
    <xf numFmtId="164" fontId="13" fillId="2" borderId="5" xfId="0" applyFont="1" applyFill="1" applyBorder="1" applyAlignment="1">
      <alignment wrapText="1"/>
    </xf>
    <xf numFmtId="174" fontId="13" fillId="2" borderId="5" xfId="0" applyNumberFormat="1" applyFont="1" applyFill="1" applyBorder="1" applyAlignment="1">
      <alignment/>
    </xf>
    <xf numFmtId="174" fontId="13" fillId="2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0" fillId="0" borderId="26" xfId="0" applyNumberFormat="1" applyBorder="1" applyAlignment="1" applyProtection="1">
      <alignment horizontal="right"/>
      <protection locked="0"/>
    </xf>
    <xf numFmtId="166" fontId="0" fillId="0" borderId="27" xfId="0" applyNumberFormat="1" applyBorder="1" applyAlignment="1" applyProtection="1">
      <alignment horizontal="center"/>
      <protection locked="0"/>
    </xf>
    <xf numFmtId="166" fontId="13" fillId="0" borderId="28" xfId="0" applyNumberFormat="1" applyFont="1" applyBorder="1" applyAlignment="1" applyProtection="1">
      <alignment horizontal="center"/>
      <protection locked="0"/>
    </xf>
    <xf numFmtId="169" fontId="0" fillId="0" borderId="29" xfId="0" applyNumberFormat="1" applyBorder="1" applyAlignment="1" applyProtection="1">
      <alignment horizontal="right"/>
      <protection locked="0"/>
    </xf>
    <xf numFmtId="166" fontId="0" fillId="0" borderId="27" xfId="0" applyNumberFormat="1" applyFont="1" applyFill="1" applyBorder="1" applyAlignment="1" applyProtection="1">
      <alignment horizontal="left"/>
      <protection locked="0"/>
    </xf>
    <xf numFmtId="169" fontId="0" fillId="0" borderId="29" xfId="0" applyNumberFormat="1" applyFill="1" applyBorder="1" applyAlignment="1" applyProtection="1">
      <alignment horizontal="right"/>
      <protection locked="0"/>
    </xf>
    <xf numFmtId="164" fontId="0" fillId="0" borderId="27" xfId="0" applyBorder="1" applyAlignment="1" applyProtection="1">
      <alignment horizontal="center"/>
      <protection locked="0"/>
    </xf>
    <xf numFmtId="164" fontId="13" fillId="0" borderId="28" xfId="0" applyFont="1" applyBorder="1" applyAlignment="1" applyProtection="1">
      <alignment horizontal="center"/>
      <protection locked="0"/>
    </xf>
    <xf numFmtId="166" fontId="0" fillId="0" borderId="27" xfId="0" applyNumberFormat="1" applyFont="1" applyBorder="1" applyAlignment="1" applyProtection="1">
      <alignment horizontal="left"/>
      <protection locked="0"/>
    </xf>
    <xf numFmtId="164" fontId="13" fillId="0" borderId="27" xfId="0" applyFont="1" applyBorder="1" applyAlignment="1" applyProtection="1">
      <alignment horizontal="center"/>
      <protection locked="0"/>
    </xf>
    <xf numFmtId="166" fontId="0" fillId="0" borderId="28" xfId="0" applyNumberFormat="1" applyFont="1" applyBorder="1" applyAlignment="1" applyProtection="1">
      <alignment horizontal="left"/>
      <protection locked="0"/>
    </xf>
    <xf numFmtId="164" fontId="0" fillId="0" borderId="28" xfId="0" applyFont="1" applyBorder="1" applyAlignment="1" applyProtection="1">
      <alignment/>
      <protection locked="0"/>
    </xf>
    <xf numFmtId="169" fontId="0" fillId="0" borderId="29" xfId="0" applyNumberFormat="1" applyBorder="1" applyAlignment="1">
      <alignment horizontal="right"/>
    </xf>
    <xf numFmtId="166" fontId="0" fillId="0" borderId="27" xfId="0" applyNumberFormat="1" applyFont="1" applyBorder="1" applyAlignment="1">
      <alignment horizontal="left"/>
    </xf>
    <xf numFmtId="164" fontId="0" fillId="0" borderId="27" xfId="0" applyFont="1" applyFill="1" applyBorder="1" applyAlignment="1" applyProtection="1">
      <alignment/>
      <protection locked="0"/>
    </xf>
    <xf numFmtId="169" fontId="13" fillId="0" borderId="26" xfId="0" applyNumberFormat="1" applyFont="1" applyBorder="1" applyAlignment="1" applyProtection="1">
      <alignment horizontal="right"/>
      <protection locked="0"/>
    </xf>
    <xf numFmtId="166" fontId="13" fillId="0" borderId="27" xfId="0" applyNumberFormat="1" applyFont="1" applyBorder="1" applyAlignment="1" applyProtection="1">
      <alignment horizontal="center"/>
      <protection locked="0"/>
    </xf>
    <xf numFmtId="166" fontId="0" fillId="0" borderId="28" xfId="0" applyNumberFormat="1" applyFont="1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right"/>
      <protection locked="0"/>
    </xf>
    <xf numFmtId="166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left"/>
      <protection locked="0"/>
    </xf>
    <xf numFmtId="169" fontId="0" fillId="0" borderId="7" xfId="0" applyNumberFormat="1" applyBorder="1" applyAlignment="1" applyProtection="1">
      <alignment horizontal="right"/>
      <protection locked="0"/>
    </xf>
    <xf numFmtId="166" fontId="13" fillId="0" borderId="31" xfId="0" applyNumberFormat="1" applyFont="1" applyBorder="1" applyAlignment="1" applyProtection="1">
      <alignment horizontal="center"/>
      <protection locked="0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6" fontId="0" fillId="0" borderId="27" xfId="0" applyNumberFormat="1" applyFont="1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 horizontal="left"/>
      <protection locked="0"/>
    </xf>
    <xf numFmtId="164" fontId="0" fillId="0" borderId="32" xfId="0" applyBorder="1" applyAlignment="1">
      <alignment/>
    </xf>
    <xf numFmtId="166" fontId="0" fillId="0" borderId="27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left"/>
    </xf>
    <xf numFmtId="169" fontId="0" fillId="0" borderId="26" xfId="0" applyNumberFormat="1" applyFont="1" applyBorder="1" applyAlignment="1" applyProtection="1">
      <alignment horizontal="left"/>
      <protection locked="0"/>
    </xf>
    <xf numFmtId="166" fontId="0" fillId="0" borderId="28" xfId="0" applyNumberFormat="1" applyBorder="1" applyAlignment="1">
      <alignment horizontal="center"/>
    </xf>
    <xf numFmtId="164" fontId="0" fillId="0" borderId="27" xfId="0" applyFont="1" applyBorder="1" applyAlignment="1" applyProtection="1">
      <alignment horizontal="center"/>
      <protection locked="0"/>
    </xf>
    <xf numFmtId="169" fontId="0" fillId="0" borderId="0" xfId="0" applyNumberFormat="1" applyAlignment="1">
      <alignment/>
    </xf>
    <xf numFmtId="164" fontId="0" fillId="0" borderId="27" xfId="0" applyFont="1" applyBorder="1" applyAlignment="1" applyProtection="1">
      <alignment horizontal="left"/>
      <protection locked="0"/>
    </xf>
    <xf numFmtId="169" fontId="0" fillId="0" borderId="26" xfId="0" applyNumberFormat="1" applyFont="1" applyBorder="1" applyAlignment="1" applyProtection="1">
      <alignment horizontal="right"/>
      <protection locked="0"/>
    </xf>
    <xf numFmtId="166" fontId="0" fillId="0" borderId="31" xfId="0" applyNumberFormat="1" applyFont="1" applyBorder="1" applyAlignment="1" applyProtection="1">
      <alignment horizontal="left"/>
      <protection locked="0"/>
    </xf>
    <xf numFmtId="166" fontId="14" fillId="0" borderId="31" xfId="0" applyNumberFormat="1" applyFont="1" applyBorder="1" applyAlignment="1" applyProtection="1">
      <alignment horizontal="center"/>
      <protection locked="0"/>
    </xf>
    <xf numFmtId="169" fontId="0" fillId="0" borderId="7" xfId="0" applyNumberFormat="1" applyFont="1" applyBorder="1" applyAlignment="1" applyProtection="1">
      <alignment horizontal="left"/>
      <protection locked="0"/>
    </xf>
    <xf numFmtId="164" fontId="0" fillId="0" borderId="0" xfId="0" applyAlignment="1" applyProtection="1">
      <alignment horizontal="right"/>
      <protection locked="0"/>
    </xf>
    <xf numFmtId="164" fontId="0" fillId="0" borderId="0" xfId="0" applyAlignment="1" applyProtection="1">
      <alignment/>
      <protection locked="0"/>
    </xf>
    <xf numFmtId="164" fontId="12" fillId="0" borderId="0" xfId="0" applyFont="1" applyBorder="1" applyAlignment="1">
      <alignment horizontal="center"/>
    </xf>
    <xf numFmtId="164" fontId="15" fillId="4" borderId="33" xfId="0" applyFont="1" applyFill="1" applyBorder="1" applyAlignment="1">
      <alignment horizontal="center"/>
    </xf>
    <xf numFmtId="164" fontId="15" fillId="4" borderId="23" xfId="0" applyFont="1" applyFill="1" applyBorder="1" applyAlignment="1">
      <alignment/>
    </xf>
    <xf numFmtId="164" fontId="15" fillId="4" borderId="10" xfId="0" applyFont="1" applyFill="1" applyBorder="1" applyAlignment="1">
      <alignment horizontal="center"/>
    </xf>
    <xf numFmtId="164" fontId="0" fillId="0" borderId="33" xfId="0" applyFont="1" applyBorder="1" applyAlignment="1" applyProtection="1">
      <alignment/>
      <protection locked="0"/>
    </xf>
    <xf numFmtId="164" fontId="0" fillId="0" borderId="17" xfId="0" applyFont="1" applyBorder="1" applyAlignment="1" applyProtection="1">
      <alignment/>
      <protection locked="0"/>
    </xf>
    <xf numFmtId="164" fontId="0" fillId="0" borderId="23" xfId="0" applyBorder="1" applyAlignment="1">
      <alignment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142875</xdr:colOff>
      <xdr:row>1</xdr:row>
      <xdr:rowOff>171450</xdr:rowOff>
    </xdr:from>
    <xdr:to>
      <xdr:col>17</xdr:col>
      <xdr:colOff>161925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4191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600</v>
      </c>
      <c r="C1" s="5">
        <f>IF(Brevet_Length&gt;=1200,Brevet_Length,IF(Brevet_Length&gt;=1000,1000,IF(Brevet_Length&gt;=600,600,IF(Brevet_Length&gt;=400,400,IF(Brevet_Length&gt;=300,300,IF(Brevet_Length&gt;=200,200,100))))))</f>
        <v>600</v>
      </c>
    </row>
    <row r="2" spans="1:2" ht="12.75">
      <c r="A2" s="6" t="s">
        <v>1</v>
      </c>
      <c r="B2" s="7">
        <f>IF(brevet&gt;=1200,90,IF(brevet&gt;=1000,75,IF(brevet&gt;=600,40,IF(brevet&gt;=400,27,IF(brevet&gt;=300,20,IF(brevet&gt;=200,13.5,IF(brevet&gt;=100,7,0)))))))</f>
        <v>40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0.25</v>
      </c>
      <c r="J10" s="24">
        <f>I10+"1:00"</f>
        <v>0.2916666666666667</v>
      </c>
      <c r="K10" s="25">
        <f>IF(ISBLANK(Distance),"",Open Control_1)</f>
        <v>0.25</v>
      </c>
      <c r="L10" s="25">
        <f>IF(ISBLANK(Distance),"",Close Control_1)</f>
        <v>0.2916666666666667</v>
      </c>
    </row>
    <row r="11" spans="3:12" ht="12.75">
      <c r="C11" s="2" t="s">
        <v>23</v>
      </c>
      <c r="D11" s="20">
        <v>70.8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2.0823529411764703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4.72</v>
      </c>
      <c r="K11" s="25">
        <f>IF(ISBLANK(Distance),"",Open_time Control_1+(INT(Open)&amp;":"&amp;IF(ROUND(((Open-INT(Open))*60),0)&lt;10,0,"")&amp;ROUND(((Open-INT(Open))*60),0)))</f>
        <v>0.3368055555555556</v>
      </c>
      <c r="L11" s="25">
        <f>IF(ISBLANK(Distance),"",Open_time Control_1+(INT(Close)&amp;":"&amp;IF(ROUND(((Close-INT(Close))*60),0)&lt;10,0,"")&amp;ROUND(((Close-INT(Close))*60),0)))</f>
        <v>0.44652777777777775</v>
      </c>
    </row>
    <row r="12" spans="3:12" ht="12.75">
      <c r="C12" s="2" t="s">
        <v>28</v>
      </c>
      <c r="D12" s="20">
        <v>140.3</v>
      </c>
      <c r="E12" s="21" t="s">
        <v>19</v>
      </c>
      <c r="F12" s="22" t="s">
        <v>20</v>
      </c>
      <c r="G12" s="22" t="s">
        <v>21</v>
      </c>
      <c r="H12" s="23" t="s">
        <v>22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4.126470588235295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9.353333333333333</v>
      </c>
      <c r="K12" s="25">
        <f>IF(ISBLANK(Distance),"",Open_time Control_1+(INT(Open)&amp;":"&amp;IF(ROUND(((Open-INT(Open))*60),0)&lt;10,0,"")&amp;ROUND(((Open-INT(Open))*60),0)))</f>
        <v>0.4222222222222222</v>
      </c>
      <c r="L12" s="25">
        <f>IF(ISBLANK(Distance),"",Open_time Control_1+(INT(Close)&amp;":"&amp;IF(ROUND(((Close-INT(Close))*60),0)&lt;10,0,"")&amp;ROUND(((Close-INT(Close))*60),0)))</f>
        <v>0.6395833333333334</v>
      </c>
    </row>
    <row r="13" spans="3:12" ht="12.75">
      <c r="C13" s="2" t="s">
        <v>29</v>
      </c>
      <c r="D13" s="20">
        <v>204.5</v>
      </c>
      <c r="E13" s="21" t="s">
        <v>30</v>
      </c>
      <c r="F13" s="22" t="s">
        <v>31</v>
      </c>
      <c r="G13" s="22" t="s">
        <v>32</v>
      </c>
      <c r="H13" s="23" t="s">
        <v>33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6.023025</v>
      </c>
      <c r="J13" s="5">
        <f t="shared" si="0"/>
        <v>13.633333333333333</v>
      </c>
      <c r="K13" s="25">
        <f>IF(ISBLANK(Distance),"",Open_time Control_1+(INT(Open)&amp;":"&amp;IF(ROUND(((Open-INT(Open))*60),0)&lt;10,0,"")&amp;ROUND(((Open-INT(Open))*60),0)))</f>
        <v>0.5006944444444444</v>
      </c>
      <c r="L13" s="25">
        <f>IF(ISBLANK(Distance),"",Open_time Control_1+(INT(Close)&amp;":"&amp;IF(ROUND(((Close-INT(Close))*60),0)&lt;10,0,"")&amp;ROUND(((Close-INT(Close))*60),0)))</f>
        <v>0.8180555555555555</v>
      </c>
    </row>
    <row r="14" spans="3:12" ht="12.75">
      <c r="C14" s="2" t="s">
        <v>34</v>
      </c>
      <c r="D14" s="20">
        <v>270.2</v>
      </c>
      <c r="E14" s="21" t="s">
        <v>35</v>
      </c>
      <c r="F14" s="22" t="s">
        <v>36</v>
      </c>
      <c r="G14" s="22"/>
      <c r="H14" s="23" t="s">
        <v>37</v>
      </c>
      <c r="I14" s="5">
        <f t="shared" si="1"/>
        <v>8.076149999999998</v>
      </c>
      <c r="J14" s="5">
        <f t="shared" si="0"/>
        <v>18.013333333333332</v>
      </c>
      <c r="K14" s="25">
        <f>IF(ISBLANK(Distance),"",Open_time Control_1+(INT(Open)&amp;":"&amp;IF(ROUND(((Open-INT(Open))*60),0)&lt;10,0,"")&amp;ROUND(((Open-INT(Open))*60),0)))</f>
        <v>0.5868055555555556</v>
      </c>
      <c r="L14" s="25">
        <f>IF(ISBLANK(Distance),"",Open_time Control_1+(INT(Close)&amp;":"&amp;IF(ROUND(((Close-INT(Close))*60),0)&lt;10,0,"")&amp;ROUND(((Close-INT(Close))*60),0)))</f>
        <v>1.0006944444444446</v>
      </c>
    </row>
    <row r="15" spans="3:12" ht="12.75">
      <c r="C15" s="2" t="s">
        <v>38</v>
      </c>
      <c r="D15" s="20">
        <v>373.9</v>
      </c>
      <c r="E15" s="21" t="s">
        <v>39</v>
      </c>
      <c r="F15" s="22" t="s">
        <v>40</v>
      </c>
      <c r="G15" s="22" t="s">
        <v>41</v>
      </c>
      <c r="H15" s="23" t="s">
        <v>42</v>
      </c>
      <c r="I15" s="5">
        <f t="shared" si="1"/>
        <v>11.316775</v>
      </c>
      <c r="J15" s="5">
        <f t="shared" si="0"/>
        <v>24.926666666666666</v>
      </c>
      <c r="K15" s="25">
        <f>IF(ISBLANK(Distance),"",Open_time Control_1+(INT(Open)&amp;":"&amp;IF(ROUND(((Open-INT(Open))*60),0)&lt;10,0,"")&amp;ROUND(((Open-INT(Open))*60),0)))</f>
        <v>0.7215277777777778</v>
      </c>
      <c r="L15" s="25">
        <f>IF(ISBLANK(Distance),"",Open_time Control_1+(INT(Close)&amp;":"&amp;IF(ROUND(((Close-INT(Close))*60),0)&lt;10,0,"")&amp;ROUND(((Close-INT(Close))*60),0)))</f>
        <v>1.288888888888889</v>
      </c>
    </row>
    <row r="16" spans="3:12" ht="12.75">
      <c r="C16" s="2" t="s">
        <v>43</v>
      </c>
      <c r="D16" s="20">
        <v>478.1</v>
      </c>
      <c r="E16" s="21" t="s">
        <v>35</v>
      </c>
      <c r="F16" s="22" t="s">
        <v>36</v>
      </c>
      <c r="G16" s="22"/>
      <c r="H16" s="23" t="s">
        <v>37</v>
      </c>
      <c r="I16" s="5">
        <f t="shared" si="1"/>
        <v>14.735733333333334</v>
      </c>
      <c r="J16" s="5">
        <f t="shared" si="0"/>
        <v>31.873333333333335</v>
      </c>
      <c r="K16" s="25">
        <f>IF(ISBLANK(Distance),"",Open_time Control_1+(INT(Open)&amp;":"&amp;IF(ROUND(((Open-INT(Open))*60),0)&lt;10,0,"")&amp;ROUND(((Open-INT(Open))*60),0)))</f>
        <v>0.8638888888888889</v>
      </c>
      <c r="L16" s="25">
        <f>IF(ISBLANK(Distance),"",Open_time Control_1+(INT(Close)&amp;":"&amp;IF(ROUND(((Close-INT(Close))*60),0)&lt;10,0,"")&amp;ROUND(((Close-INT(Close))*60),0)))</f>
        <v>1.5777777777777777</v>
      </c>
    </row>
    <row r="17" spans="3:12" ht="12.75">
      <c r="C17" s="2" t="s">
        <v>44</v>
      </c>
      <c r="D17" s="20">
        <v>543.8</v>
      </c>
      <c r="E17" s="21" t="s">
        <v>30</v>
      </c>
      <c r="F17" s="22" t="s">
        <v>31</v>
      </c>
      <c r="G17" s="22" t="s">
        <v>32</v>
      </c>
      <c r="H17" s="23" t="s">
        <v>33</v>
      </c>
      <c r="I17" s="5">
        <f t="shared" si="1"/>
        <v>16.925733333333334</v>
      </c>
      <c r="J17" s="5">
        <f t="shared" si="0"/>
        <v>36.25333333333333</v>
      </c>
      <c r="K17" s="25">
        <f>IF(ISBLANK(Distance),"",Open_time Control_1+(INT(Open)&amp;":"&amp;IF(ROUND(((Open-INT(Open))*60),0)&lt;10,0,"")&amp;ROUND(((Open-INT(Open))*60),0)))</f>
        <v>0.9555555555555556</v>
      </c>
      <c r="L17" s="25">
        <f>IF(ISBLANK(Distance),"",Open_time Control_1+(INT(Close)&amp;":"&amp;IF(ROUND(((Close-INT(Close))*60),0)&lt;10,0,"")&amp;ROUND(((Close-INT(Close))*60),0)))</f>
        <v>1.7604166666666667</v>
      </c>
    </row>
    <row r="18" spans="3:12" ht="12.75">
      <c r="C18" s="2" t="s">
        <v>45</v>
      </c>
      <c r="D18" s="20">
        <v>608.2</v>
      </c>
      <c r="E18" s="21" t="s">
        <v>19</v>
      </c>
      <c r="F18" s="22" t="s">
        <v>20</v>
      </c>
      <c r="G18" s="22" t="s">
        <v>21</v>
      </c>
      <c r="H18" s="23" t="s">
        <v>22</v>
      </c>
      <c r="I18" s="5">
        <f t="shared" si="1"/>
        <v>19.091857142857144</v>
      </c>
      <c r="J18" s="5">
        <f t="shared" si="0"/>
        <v>40</v>
      </c>
      <c r="K18" s="25">
        <f>IF(ISBLANK(Distance),"",Open_time Control_1+(INT(Open)&amp;":"&amp;IF(ROUND(((Open-INT(Open))*60),0)&lt;10,0,"")&amp;ROUND(((Open-INT(Open))*60),0)))</f>
        <v>1.0458333333333334</v>
      </c>
      <c r="L18" s="25">
        <f>IF(ISBLANK(Distance),"",Open_time Control_1+(INT(Close)&amp;":"&amp;IF(ROUND(((Close-INT(Close))*60),0)&lt;10,0,"")&amp;ROUND(((Close-INT(Close))*60),0)))</f>
        <v>1.9166666666666667</v>
      </c>
    </row>
    <row r="19" spans="3:12" ht="12.75">
      <c r="C19" s="2" t="s">
        <v>46</v>
      </c>
      <c r="D19" s="20"/>
      <c r="E19" s="21" t="s">
        <v>47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48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49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50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51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52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53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54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55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56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57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showGridLines="0" workbookViewId="0" topLeftCell="A1">
      <selection activeCell="J10" sqref="J10"/>
    </sheetView>
  </sheetViews>
  <sheetFormatPr defaultColWidth="9.140625" defaultRowHeight="12.75"/>
  <cols>
    <col min="1" max="1" width="9.28125" style="30" customWidth="1"/>
    <col min="2" max="3" width="12.421875" style="0" customWidth="1"/>
    <col min="4" max="4" width="19.28125" style="0" customWidth="1"/>
    <col min="5" max="5" width="24.421875" style="0" customWidth="1"/>
    <col min="6" max="6" width="42.7109375" style="0" customWidth="1"/>
    <col min="7" max="7" width="13.421875" style="0" customWidth="1"/>
    <col min="8" max="8" width="7.00390625" style="31" customWidth="1"/>
    <col min="9" max="9" width="8.7109375" style="0" customWidth="1"/>
    <col min="19" max="19" width="10.8515625" style="0" customWidth="1"/>
  </cols>
  <sheetData>
    <row r="1" spans="1:8" ht="19.5">
      <c r="A1" s="32" t="s">
        <v>58</v>
      </c>
      <c r="B1" s="32"/>
      <c r="C1" s="32"/>
      <c r="D1" s="32"/>
      <c r="E1" s="32"/>
      <c r="F1" s="32"/>
      <c r="G1" s="32"/>
      <c r="H1" s="11" t="s">
        <v>59</v>
      </c>
    </row>
    <row r="2" spans="1:14" ht="33.75" customHeight="1">
      <c r="A2" s="33" t="s">
        <v>60</v>
      </c>
      <c r="B2" s="34" t="s">
        <v>14</v>
      </c>
      <c r="C2" s="34" t="s">
        <v>15</v>
      </c>
      <c r="D2" s="34" t="s">
        <v>10</v>
      </c>
      <c r="E2" s="34" t="s">
        <v>61</v>
      </c>
      <c r="F2" s="34" t="s">
        <v>62</v>
      </c>
      <c r="G2" s="33" t="s">
        <v>63</v>
      </c>
      <c r="H2" s="11" t="s">
        <v>59</v>
      </c>
      <c r="N2" s="35"/>
    </row>
    <row r="3" spans="1:14" ht="36" customHeight="1">
      <c r="A3" s="36"/>
      <c r="B3" s="37">
        <f>Control_1 Open_time</f>
        <v>0.25</v>
      </c>
      <c r="C3" s="37">
        <f>Control_1 Close_time</f>
        <v>0.2916666666666667</v>
      </c>
      <c r="D3" s="38"/>
      <c r="E3" s="39">
        <f>IF(ISBLANK(Control_1 Establishment_1),"",Control_1 Establishment_1)</f>
        <v>0</v>
      </c>
      <c r="F3" s="40"/>
      <c r="G3" s="41"/>
      <c r="H3" s="11" t="s">
        <v>59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0.25</v>
      </c>
      <c r="C4" s="44">
        <f>Control_1 Close_time</f>
        <v>0.2916666666666667</v>
      </c>
      <c r="D4" s="45">
        <f>IF(ISBLANK(Locale Control_1),"",Locale Control_1)</f>
        <v>0</v>
      </c>
      <c r="E4" s="39">
        <f>IF(ISBLANK(Control_1 Establishment_2),"",Control_1 Establishment_2)</f>
        <v>0</v>
      </c>
      <c r="F4" s="40"/>
      <c r="G4" s="41"/>
      <c r="H4" s="11" t="s">
        <v>59</v>
      </c>
      <c r="K4" s="42"/>
      <c r="N4" s="35"/>
    </row>
    <row r="5" spans="1:11" ht="36" customHeight="1">
      <c r="A5" s="46"/>
      <c r="B5" s="47">
        <f>Control_1 Open_time</f>
        <v>0.25</v>
      </c>
      <c r="C5" s="47">
        <f>Control_1 Close_time</f>
        <v>0.2916666666666667</v>
      </c>
      <c r="D5" s="48"/>
      <c r="E5" s="49">
        <f>IF(ISBLANK(Control_1 Establishment_3),"",Control_1 Establishment_3)</f>
        <v>0</v>
      </c>
      <c r="F5" s="50"/>
      <c r="G5" s="51"/>
      <c r="H5" s="11" t="s">
        <v>59</v>
      </c>
      <c r="K5" s="42"/>
    </row>
    <row r="6" spans="1:11" ht="36" customHeight="1">
      <c r="A6" s="36"/>
      <c r="B6" s="37">
        <f>Control_2 Open_time</f>
        <v>0.3368055555555556</v>
      </c>
      <c r="C6" s="37">
        <f>Control_2 Close_time</f>
        <v>0.44652777777777775</v>
      </c>
      <c r="D6" s="52"/>
      <c r="E6" s="39">
        <f>IF(ISBLANK(Control_2 Establishment_1),"",Control_2 Establishment_1)</f>
        <v>0</v>
      </c>
      <c r="F6" s="40"/>
      <c r="G6" s="41"/>
      <c r="H6" s="11" t="s">
        <v>59</v>
      </c>
      <c r="K6" s="42"/>
    </row>
    <row r="7" spans="1:11" ht="36" customHeight="1">
      <c r="A7" s="43">
        <f>IF(ISBLANK(Distance Control_2),"",Control_2 Distance)</f>
        <v>70.8</v>
      </c>
      <c r="B7" s="44">
        <f>Control_2 Open_time</f>
        <v>0.3368055555555556</v>
      </c>
      <c r="C7" s="44">
        <f>Control_2 Close_time</f>
        <v>0.44652777777777775</v>
      </c>
      <c r="D7" s="45">
        <f>IF(ISBLANK(Locale Control_2),"",Locale Control_2)</f>
        <v>0</v>
      </c>
      <c r="E7" s="39">
        <f>IF(ISBLANK(Control_2 Establishment_2),"",Control_2 Establishment_2)</f>
        <v>0</v>
      </c>
      <c r="F7" s="40"/>
      <c r="G7" s="41"/>
      <c r="H7" s="11" t="s">
        <v>59</v>
      </c>
      <c r="K7" s="42"/>
    </row>
    <row r="8" spans="1:20" ht="36" customHeight="1">
      <c r="A8" s="46"/>
      <c r="B8" s="47">
        <f>Control_2 Open_time</f>
        <v>0.3368055555555556</v>
      </c>
      <c r="C8" s="47">
        <f>Control_2 Close_time</f>
        <v>0.44652777777777775</v>
      </c>
      <c r="D8" s="48"/>
      <c r="E8" s="49">
        <f>IF(ISBLANK(Control_2 Establishment_3),"",Control_2 Establishment_3)</f>
        <v>0</v>
      </c>
      <c r="F8" s="50"/>
      <c r="G8" s="51"/>
      <c r="H8" s="11" t="s">
        <v>59</v>
      </c>
      <c r="J8" s="53" t="s">
        <v>64</v>
      </c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19" ht="36" customHeight="1">
      <c r="A9" s="36"/>
      <c r="B9" s="37">
        <f>Control_3 Open_time</f>
        <v>0.4222222222222222</v>
      </c>
      <c r="C9" s="37">
        <f>Control_3 Close_time</f>
        <v>0.6395833333333334</v>
      </c>
      <c r="D9" s="52"/>
      <c r="E9" s="39">
        <f>IF(ISBLANK(Control_3 Establishment_1),"",Control_3 Establishment_1)</f>
        <v>0</v>
      </c>
      <c r="F9" s="40"/>
      <c r="G9" s="41"/>
      <c r="H9" s="11" t="s">
        <v>59</v>
      </c>
      <c r="J9" s="54">
        <f>IF(ISBLANK(brevet),"",brevet&amp;" km Randonnée")</f>
        <v>0</v>
      </c>
      <c r="K9" s="54"/>
      <c r="L9" s="54"/>
      <c r="M9" s="54"/>
      <c r="N9" s="54"/>
      <c r="O9" s="54"/>
      <c r="P9" s="54"/>
      <c r="Q9" s="54"/>
      <c r="R9" s="54"/>
      <c r="S9" s="54"/>
    </row>
    <row r="10" spans="1:20" ht="36" customHeight="1">
      <c r="A10" s="43">
        <f>IF(ISBLANK(Distance Control_3),"",Control_3 Distance)</f>
        <v>140.3</v>
      </c>
      <c r="B10" s="44">
        <f>Control_3 Open_time</f>
        <v>0.4222222222222222</v>
      </c>
      <c r="C10" s="44">
        <f>Control_3 Close_time</f>
        <v>0.6395833333333334</v>
      </c>
      <c r="D10" s="45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59</v>
      </c>
      <c r="J10" s="55">
        <f>IF(ISBLANK(Brevet_Description),"",Brevet_Description)</f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36" customHeight="1">
      <c r="A11" s="46"/>
      <c r="B11" s="47">
        <f>Control_3 Open_time</f>
        <v>0.4222222222222222</v>
      </c>
      <c r="C11" s="47">
        <f>Control_3 Close_time</f>
        <v>0.6395833333333334</v>
      </c>
      <c r="D11" s="48"/>
      <c r="E11" s="49">
        <f>IF(ISBLANK(Control_3 Establishment_3),"",Control_3 Establishment_3)</f>
        <v>0</v>
      </c>
      <c r="F11" s="50"/>
      <c r="G11" s="51"/>
      <c r="H11" s="11" t="s">
        <v>59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36" customHeight="1">
      <c r="A12" s="36"/>
      <c r="B12" s="37">
        <f>Control_4 Open_time</f>
        <v>0.5006944444444444</v>
      </c>
      <c r="C12" s="37">
        <f>Control_4 Close_time</f>
        <v>0.8180555555555555</v>
      </c>
      <c r="D12" s="52"/>
      <c r="E12" s="39">
        <f>IF(ISBLANK(Control_4 Establishment_1),"",Control_4 Establishment_1)</f>
        <v>0</v>
      </c>
      <c r="F12" s="40"/>
      <c r="G12" s="41"/>
      <c r="H12" s="11" t="s">
        <v>59</v>
      </c>
      <c r="J12" s="57" t="s">
        <v>65</v>
      </c>
      <c r="L12" s="58" t="str">
        <f>IF(ISBLANK(Surname),"",First_Name&amp;" "&amp;Initial&amp;" "&amp;Surname)</f>
        <v>  </v>
      </c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3">
        <f>IF(ISBLANK(Distance Control_4),"",Control_4 Distance)</f>
        <v>204.5</v>
      </c>
      <c r="B13" s="44">
        <f>Control_4 Open_time</f>
        <v>0.5006944444444444</v>
      </c>
      <c r="C13" s="44">
        <f>Control_4 Close_time</f>
        <v>0.8180555555555555</v>
      </c>
      <c r="D13" s="45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59</v>
      </c>
      <c r="J13" s="57" t="s">
        <v>66</v>
      </c>
      <c r="K13" s="57"/>
      <c r="L13" s="61">
        <f>IF(ISBLANK(Address_1),"",Address_1)</f>
      </c>
      <c r="M13" s="62"/>
      <c r="N13" s="62"/>
      <c r="O13" s="62"/>
      <c r="P13" s="62"/>
      <c r="Q13" s="62"/>
      <c r="R13" s="62"/>
      <c r="S13" s="62"/>
      <c r="T13" s="63"/>
    </row>
    <row r="14" spans="1:20" ht="36" customHeight="1">
      <c r="A14" s="46"/>
      <c r="B14" s="47">
        <f>Control_4 Open_time</f>
        <v>0.5006944444444444</v>
      </c>
      <c r="C14" s="47">
        <f>Control_4 Close_time</f>
        <v>0.8180555555555555</v>
      </c>
      <c r="D14" s="48"/>
      <c r="E14" s="49">
        <f>IF(ISBLANK(Control_4 Establishment_3),"",Control_4 Establishment_3)</f>
        <v>0</v>
      </c>
      <c r="F14" s="50"/>
      <c r="G14" s="51"/>
      <c r="H14" s="11" t="s">
        <v>59</v>
      </c>
      <c r="J14" s="57"/>
      <c r="K14" s="57"/>
      <c r="L14" s="61">
        <f>IF(ISBLANK(Address_2),"",Address_2)</f>
      </c>
      <c r="M14" s="62"/>
      <c r="N14" s="62"/>
      <c r="O14" s="62"/>
      <c r="P14" s="62"/>
      <c r="Q14" s="62"/>
      <c r="R14" s="62"/>
      <c r="S14" s="62"/>
      <c r="T14" s="63"/>
    </row>
    <row r="15" spans="1:20" ht="36" customHeight="1">
      <c r="A15" s="36"/>
      <c r="B15" s="37">
        <f>Control_5 Open_time</f>
        <v>0.5868055555555556</v>
      </c>
      <c r="C15" s="37">
        <f>Control_5 Close_time</f>
        <v>1.0006944444444446</v>
      </c>
      <c r="D15" s="52"/>
      <c r="E15" s="39">
        <f>IF(ISBLANK(Control_5 Establishment_1),"",Control_5 Establishment_1)</f>
        <v>0</v>
      </c>
      <c r="F15" s="40"/>
      <c r="G15" s="41"/>
      <c r="H15" s="11" t="s">
        <v>59</v>
      </c>
      <c r="J15" s="57" t="s">
        <v>67</v>
      </c>
      <c r="K15" s="57"/>
      <c r="L15" s="61">
        <f>IF(ISBLANK(City),"",City)</f>
      </c>
      <c r="M15" s="62"/>
      <c r="N15" s="62"/>
      <c r="O15" s="64"/>
      <c r="P15" s="64" t="s">
        <v>68</v>
      </c>
      <c r="Q15" s="64"/>
      <c r="R15" s="64"/>
      <c r="S15" s="61">
        <f>IF(ISBLANK(Province_State),"",Province_State)</f>
      </c>
      <c r="T15" s="63"/>
    </row>
    <row r="16" spans="1:20" ht="36" customHeight="1">
      <c r="A16" s="43">
        <f>IF(ISBLANK(Distance Control_5),"",Control_5 Distance)</f>
        <v>270.2</v>
      </c>
      <c r="B16" s="44">
        <f>Control_5 Open_time</f>
        <v>0.5868055555555556</v>
      </c>
      <c r="C16" s="44">
        <f>Control_5 Close_time</f>
        <v>1.0006944444444446</v>
      </c>
      <c r="D16" s="45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59</v>
      </c>
      <c r="J16" s="57" t="s">
        <v>69</v>
      </c>
      <c r="K16" s="57"/>
      <c r="L16" s="61">
        <f>IF(ISBLANK(Country),"",Country)</f>
      </c>
      <c r="M16" s="62"/>
      <c r="N16" s="62"/>
      <c r="O16" s="64"/>
      <c r="P16" s="64" t="s">
        <v>70</v>
      </c>
      <c r="Q16" s="64"/>
      <c r="R16" s="64"/>
      <c r="S16" s="65">
        <f>IF(ISBLANK(Postal_Code),"",Postal_Code)</f>
      </c>
      <c r="T16" s="63"/>
    </row>
    <row r="17" spans="1:19" ht="36" customHeight="1">
      <c r="A17" s="46"/>
      <c r="B17" s="47">
        <f>Control_5 Open_time</f>
        <v>0.5868055555555556</v>
      </c>
      <c r="C17" s="47">
        <f>Control_5 Close_time</f>
        <v>1.0006944444444446</v>
      </c>
      <c r="D17" s="48"/>
      <c r="E17" s="49">
        <f>IF(ISBLANK(Control_5 Establishment_3),"",Control_5 Establishment_3)</f>
        <v>0</v>
      </c>
      <c r="F17" s="50"/>
      <c r="G17" s="51"/>
      <c r="H17" s="11" t="s">
        <v>59</v>
      </c>
      <c r="L17" s="66"/>
      <c r="M17" s="66"/>
      <c r="N17" s="66"/>
      <c r="O17" s="66"/>
      <c r="P17" s="66"/>
      <c r="Q17" s="66"/>
      <c r="R17" s="66"/>
      <c r="S17" s="66"/>
    </row>
    <row r="18" spans="1:20" ht="36" customHeight="1">
      <c r="A18" s="36"/>
      <c r="B18" s="37">
        <f>Control_6 Open_time</f>
        <v>0.7215277777777778</v>
      </c>
      <c r="C18" s="37">
        <f>Control_6 Close_time</f>
        <v>1.288888888888889</v>
      </c>
      <c r="D18" s="52"/>
      <c r="E18" s="39">
        <f>IF(ISBLANK(Control_6 Establishment_1),"",Control_6 Establishment_1)</f>
        <v>0</v>
      </c>
      <c r="F18" s="40"/>
      <c r="G18" s="41"/>
      <c r="H18" s="11" t="s">
        <v>59</v>
      </c>
      <c r="J18" s="57" t="s">
        <v>71</v>
      </c>
      <c r="L18" s="67">
        <f>IF(ISBLANK(Home_telephone),"",Home_telephone)</f>
      </c>
      <c r="M18" s="67"/>
      <c r="N18" s="67"/>
      <c r="O18" s="66"/>
      <c r="P18" s="64" t="s">
        <v>72</v>
      </c>
      <c r="Q18" s="65">
        <f>IF(ISBLANK(email),"",email)</f>
      </c>
      <c r="R18" s="68"/>
      <c r="S18" s="68"/>
      <c r="T18" s="69"/>
    </row>
    <row r="19" spans="1:19" ht="36" customHeight="1">
      <c r="A19" s="43">
        <f>IF(ISBLANK(Distance Control_6),"",Control_6 Distance)</f>
        <v>373.9</v>
      </c>
      <c r="B19" s="44">
        <f>Control_6 Open_time</f>
        <v>0.7215277777777778</v>
      </c>
      <c r="C19" s="44">
        <f>Control_6 Close_time</f>
        <v>1.288888888888889</v>
      </c>
      <c r="D19" s="45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59</v>
      </c>
      <c r="L19" s="66"/>
      <c r="M19" s="66"/>
      <c r="N19" s="66"/>
      <c r="O19" s="66"/>
      <c r="P19" s="66"/>
      <c r="Q19" s="66"/>
      <c r="R19" s="66"/>
      <c r="S19" s="66"/>
    </row>
    <row r="20" spans="1:20" ht="36" customHeight="1">
      <c r="A20" s="46"/>
      <c r="B20" s="47">
        <f>Control_6 Open_time</f>
        <v>0.7215277777777778</v>
      </c>
      <c r="C20" s="47">
        <f>Control_6 Close_time</f>
        <v>1.288888888888889</v>
      </c>
      <c r="D20" s="48"/>
      <c r="E20" s="49">
        <f>IF(ISBLANK(Control_6 Establishment_3),"",Control_6 Establishment_3)</f>
        <v>0</v>
      </c>
      <c r="F20" s="50"/>
      <c r="G20" s="51"/>
      <c r="H20" s="11" t="s">
        <v>59</v>
      </c>
      <c r="J20" s="70" t="s">
        <v>73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6"/>
      <c r="B21" s="37">
        <f>Control_7 Open_time</f>
        <v>0.8638888888888889</v>
      </c>
      <c r="C21" s="37">
        <f>Control_7 Close_time</f>
        <v>1.5777777777777777</v>
      </c>
      <c r="D21" s="52"/>
      <c r="E21" s="39">
        <f>IF(ISBLANK(Control_7 Establishment_1),"",Control_7 Establishment_1)</f>
        <v>0</v>
      </c>
      <c r="F21" s="40"/>
      <c r="G21" s="41"/>
      <c r="H21" s="11" t="s">
        <v>59</v>
      </c>
      <c r="J21" s="70" t="s">
        <v>74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43">
        <f>IF(ISBLANK(Distance Control_7),"",Control_7 Distance)</f>
        <v>478.1</v>
      </c>
      <c r="B22" s="44">
        <f>Control_7 Open_time</f>
        <v>0.8638888888888889</v>
      </c>
      <c r="C22" s="44">
        <f>Control_7 Close_time</f>
        <v>1.5777777777777777</v>
      </c>
      <c r="D22" s="45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59</v>
      </c>
      <c r="L22" s="66"/>
      <c r="M22" s="66"/>
      <c r="N22" s="66"/>
      <c r="O22" s="66"/>
      <c r="P22" s="66"/>
      <c r="Q22" s="66"/>
      <c r="R22" s="66"/>
      <c r="S22" s="66"/>
    </row>
    <row r="23" spans="1:20" ht="36" customHeight="1">
      <c r="A23" s="46"/>
      <c r="B23" s="47">
        <f>Control_7 Open_time</f>
        <v>0.8638888888888889</v>
      </c>
      <c r="C23" s="47">
        <f>Control_7 Close_time</f>
        <v>1.5777777777777777</v>
      </c>
      <c r="D23" s="48"/>
      <c r="E23" s="49">
        <f>IF(ISBLANK(Control_7 Establishment_3),"",Control_7 Establishment_3)</f>
        <v>0</v>
      </c>
      <c r="F23" s="50"/>
      <c r="G23" s="51"/>
      <c r="H23" s="11" t="s">
        <v>59</v>
      </c>
      <c r="J23" s="71" t="s">
        <v>75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6"/>
      <c r="B24" s="37">
        <f>Control_8 Open_time</f>
        <v>0.9555555555555556</v>
      </c>
      <c r="C24" s="37">
        <f>Control_8 Close_time</f>
        <v>1.7604166666666667</v>
      </c>
      <c r="D24" s="52"/>
      <c r="E24" s="39">
        <f>IF(ISBLANK(Control_8 Establishment_1),"",Control_8 Establishment_1)</f>
        <v>0</v>
      </c>
      <c r="F24" s="40"/>
      <c r="G24" s="41"/>
      <c r="H24" s="11" t="s">
        <v>59</v>
      </c>
      <c r="J24" s="57" t="s">
        <v>76</v>
      </c>
      <c r="K24" s="72">
        <f>IF(ISBLANK(Start_date),"",Start_date)</f>
      </c>
      <c r="L24" s="72"/>
      <c r="M24" s="72"/>
      <c r="N24" s="66"/>
      <c r="O24" s="64" t="s">
        <v>77</v>
      </c>
      <c r="P24" s="66"/>
      <c r="Q24" s="68"/>
      <c r="R24" s="68"/>
      <c r="S24" s="68"/>
      <c r="T24" s="73"/>
    </row>
    <row r="25" spans="1:20" ht="36" customHeight="1">
      <c r="A25" s="43">
        <f>IF(ISBLANK(Distance Control_8),"",Control_8 Distance)</f>
        <v>543.8</v>
      </c>
      <c r="B25" s="44">
        <f>Control_8 Open_time</f>
        <v>0.9555555555555556</v>
      </c>
      <c r="C25" s="44">
        <f>Control_8 Close_time</f>
        <v>1.7604166666666667</v>
      </c>
      <c r="D25" s="45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59</v>
      </c>
      <c r="L25" s="66"/>
      <c r="M25" s="66"/>
      <c r="N25" s="66"/>
      <c r="O25" s="64" t="s">
        <v>78</v>
      </c>
      <c r="P25" s="66"/>
      <c r="Q25" s="68"/>
      <c r="R25" s="68"/>
      <c r="S25" s="68"/>
      <c r="T25" s="73"/>
    </row>
    <row r="26" spans="1:20" ht="36" customHeight="1">
      <c r="A26" s="46"/>
      <c r="B26" s="47">
        <f>Control_8 Open_time</f>
        <v>0.9555555555555556</v>
      </c>
      <c r="C26" s="47">
        <f>Control_8 Close_time</f>
        <v>1.7604166666666667</v>
      </c>
      <c r="D26" s="48"/>
      <c r="E26" s="49">
        <f>IF(ISBLANK(Control_8 Establishment_3),"",Control_8 Establishment_3)</f>
        <v>0</v>
      </c>
      <c r="F26" s="50"/>
      <c r="G26" s="51"/>
      <c r="H26" s="11" t="s">
        <v>59</v>
      </c>
      <c r="J26" s="73"/>
      <c r="K26" s="73"/>
      <c r="L26" s="68"/>
      <c r="M26" s="68"/>
      <c r="N26" s="66"/>
      <c r="O26" s="64" t="s">
        <v>79</v>
      </c>
      <c r="P26" s="66"/>
      <c r="Q26" s="68"/>
      <c r="R26" s="68"/>
      <c r="S26" s="68"/>
      <c r="T26" s="73"/>
    </row>
    <row r="27" spans="1:19" ht="36" customHeight="1">
      <c r="A27" s="36"/>
      <c r="B27" s="37">
        <f>Control_9 Open_time</f>
        <v>1.0458333333333334</v>
      </c>
      <c r="C27" s="37">
        <f>Control_9 Close_time</f>
        <v>1.9166666666666667</v>
      </c>
      <c r="D27" s="52"/>
      <c r="E27" s="39">
        <f>IF(ISBLANK(Control_9 Establishment_1),"",Control_9 Establishment_1)</f>
        <v>0</v>
      </c>
      <c r="F27" s="40"/>
      <c r="G27" s="41"/>
      <c r="H27" s="11" t="s">
        <v>59</v>
      </c>
      <c r="J27" s="74" t="s">
        <v>80</v>
      </c>
      <c r="K27" s="74"/>
      <c r="L27" s="74"/>
      <c r="M27" s="74"/>
      <c r="N27" s="66"/>
      <c r="O27" s="66"/>
      <c r="P27" s="66"/>
      <c r="Q27" s="66"/>
      <c r="R27" s="66"/>
      <c r="S27" s="66"/>
    </row>
    <row r="28" spans="1:19" ht="36" customHeight="1">
      <c r="A28" s="43">
        <f>IF(ISBLANK(Distance Control_9),"",Control_9 Distance)</f>
        <v>608.2</v>
      </c>
      <c r="B28" s="44">
        <f>Control_9 Open_time</f>
        <v>1.0458333333333334</v>
      </c>
      <c r="C28" s="44">
        <f>Control_9 Close_time</f>
        <v>1.9166666666666667</v>
      </c>
      <c r="D28" s="45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59</v>
      </c>
      <c r="L28" s="75" t="s">
        <v>81</v>
      </c>
      <c r="M28" s="75"/>
      <c r="N28" s="75"/>
      <c r="O28" s="75"/>
      <c r="P28" s="75"/>
      <c r="Q28" s="75"/>
      <c r="R28" s="66"/>
      <c r="S28" s="66"/>
    </row>
    <row r="29" spans="1:19" ht="36" customHeight="1">
      <c r="A29" s="46"/>
      <c r="B29" s="47">
        <f>Control_9 Open_time</f>
        <v>1.0458333333333334</v>
      </c>
      <c r="C29" s="47">
        <f>Control_9 Close_time</f>
        <v>1.9166666666666667</v>
      </c>
      <c r="D29" s="48"/>
      <c r="E29" s="49">
        <f>IF(ISBLANK(Control_9 Establishment_3),"",Control_9 Establishment_3)</f>
        <v>0</v>
      </c>
      <c r="F29" s="50"/>
      <c r="G29" s="51"/>
      <c r="H29" s="11" t="s">
        <v>59</v>
      </c>
      <c r="K29" s="76"/>
      <c r="L29" s="77"/>
      <c r="M29" s="77"/>
      <c r="N29" s="78"/>
      <c r="O29" s="79"/>
      <c r="P29" s="77"/>
      <c r="Q29" s="77"/>
      <c r="R29" s="78"/>
      <c r="S29" s="80"/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2"/>
      <c r="E30" s="39">
        <f>IF(ISBLANK(Control_10 Establishment_1),"",Control_10 Establishment_1)</f>
        <v>0</v>
      </c>
      <c r="F30" s="40"/>
      <c r="G30" s="41"/>
      <c r="H30" s="11" t="s">
        <v>59</v>
      </c>
      <c r="K30" s="81"/>
      <c r="L30" s="82"/>
      <c r="M30" s="82"/>
      <c r="N30" s="83"/>
      <c r="O30" s="84"/>
      <c r="P30" s="82"/>
      <c r="Q30" s="82"/>
      <c r="R30" s="83"/>
      <c r="S30" s="85"/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45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59</v>
      </c>
      <c r="K31" s="86"/>
      <c r="L31" s="68"/>
      <c r="M31" s="68"/>
      <c r="N31" s="87"/>
      <c r="O31" s="88"/>
      <c r="P31" s="68"/>
      <c r="Q31" s="68"/>
      <c r="R31" s="87"/>
      <c r="S31" s="66"/>
      <c r="U31" s="89"/>
    </row>
    <row r="32" spans="1:21" ht="36" customHeight="1">
      <c r="A32" s="46"/>
      <c r="B32" s="47">
        <f>Control_10 Open_time</f>
        <v>0</v>
      </c>
      <c r="C32" s="47">
        <f>Control_10 Close_time</f>
        <v>0</v>
      </c>
      <c r="D32" s="48"/>
      <c r="E32" s="49">
        <f>IF(ISBLANK(Control_10 Establishment_3),"",Control_10 Establishment_3)</f>
        <v>0</v>
      </c>
      <c r="F32" s="50"/>
      <c r="G32" s="51"/>
      <c r="H32" s="11" t="s">
        <v>59</v>
      </c>
      <c r="L32" s="64" t="s">
        <v>82</v>
      </c>
      <c r="M32" s="66"/>
      <c r="N32" s="62" t="str">
        <f>IF(ISBLANK(Brevet_Number),"",Brevet_Number)</f>
        <v>VI0608A</v>
      </c>
      <c r="O32" s="62"/>
      <c r="P32" s="62"/>
      <c r="Q32" s="66"/>
      <c r="R32" s="66"/>
      <c r="S32" s="66"/>
      <c r="U32" s="89"/>
    </row>
    <row r="33" spans="1:21" ht="28.5" customHeight="1">
      <c r="A33" s="90"/>
      <c r="B33" s="91"/>
      <c r="C33" s="91"/>
      <c r="D33" s="92"/>
      <c r="E33" s="93"/>
      <c r="F33" s="94"/>
      <c r="G33" s="94"/>
      <c r="H33" s="11"/>
      <c r="L33" s="64"/>
      <c r="M33" s="66"/>
      <c r="N33" s="95"/>
      <c r="O33" s="95"/>
      <c r="P33" s="95"/>
      <c r="Q33" s="66"/>
      <c r="R33" s="66"/>
      <c r="S33" s="66"/>
      <c r="U33" s="89"/>
    </row>
    <row r="34" ht="6.75" customHeight="1">
      <c r="A34"/>
    </row>
    <row r="35" spans="1:8" ht="36" customHeight="1">
      <c r="A35"/>
      <c r="H35"/>
    </row>
    <row r="36" spans="1:8" ht="36" customHeight="1">
      <c r="A36"/>
      <c r="H36"/>
    </row>
    <row r="37" spans="1:8" ht="36" customHeight="1">
      <c r="A37"/>
      <c r="H37"/>
    </row>
    <row r="38" spans="1:8" ht="36" customHeight="1">
      <c r="A38"/>
      <c r="H38"/>
    </row>
    <row r="39" spans="1:8" ht="36" customHeight="1">
      <c r="A39"/>
      <c r="H39"/>
    </row>
    <row r="40" spans="1:8" ht="36" customHeight="1">
      <c r="A40"/>
      <c r="H40"/>
    </row>
    <row r="41" spans="1:8" ht="36" customHeight="1">
      <c r="A41"/>
      <c r="H41"/>
    </row>
    <row r="42" spans="1:8" ht="36" customHeight="1">
      <c r="A42"/>
      <c r="H42"/>
    </row>
    <row r="43" spans="1:8" ht="36" customHeight="1">
      <c r="A43"/>
      <c r="H43"/>
    </row>
    <row r="44" spans="1:8" ht="36" customHeight="1">
      <c r="A44"/>
      <c r="H44"/>
    </row>
    <row r="45" spans="1:8" ht="36" customHeight="1">
      <c r="A45"/>
      <c r="H45"/>
    </row>
    <row r="46" spans="1:8" ht="36" customHeight="1">
      <c r="A46"/>
      <c r="H46"/>
    </row>
    <row r="47" spans="1:8" ht="36" customHeight="1">
      <c r="A47"/>
      <c r="H47"/>
    </row>
    <row r="48" spans="1:8" ht="36" customHeight="1">
      <c r="A48"/>
      <c r="H48"/>
    </row>
    <row r="49" spans="1:8" ht="36" customHeight="1">
      <c r="A49"/>
      <c r="H49"/>
    </row>
    <row r="50" spans="1:8" ht="36" customHeight="1">
      <c r="A50"/>
      <c r="H50"/>
    </row>
    <row r="51" spans="1:8" ht="36" customHeight="1">
      <c r="A51"/>
      <c r="H51"/>
    </row>
    <row r="52" spans="1:8" ht="36" customHeight="1">
      <c r="A52"/>
      <c r="H52"/>
    </row>
    <row r="53" spans="1:8" ht="36" customHeight="1">
      <c r="A53"/>
      <c r="H53"/>
    </row>
    <row r="54" spans="1:8" ht="36" customHeight="1">
      <c r="A54"/>
      <c r="H54"/>
    </row>
    <row r="55" spans="1:8" ht="36" customHeight="1">
      <c r="A55"/>
      <c r="H55"/>
    </row>
    <row r="56" spans="1:8" ht="36" customHeight="1">
      <c r="A56"/>
      <c r="H56"/>
    </row>
    <row r="57" spans="1:8" ht="36" customHeight="1">
      <c r="A57"/>
      <c r="H57"/>
    </row>
    <row r="58" spans="1:8" ht="36" customHeight="1">
      <c r="A58"/>
      <c r="H58"/>
    </row>
    <row r="59" spans="1:8" ht="36" customHeight="1">
      <c r="A59"/>
      <c r="H59"/>
    </row>
    <row r="60" spans="1:8" ht="36" customHeight="1">
      <c r="A60"/>
      <c r="H60"/>
    </row>
    <row r="61" spans="1:8" ht="36" customHeight="1">
      <c r="A61"/>
      <c r="H61"/>
    </row>
    <row r="62" spans="1:8" ht="36" customHeight="1">
      <c r="A62"/>
      <c r="H62"/>
    </row>
    <row r="63" spans="1:8" ht="36" customHeight="1">
      <c r="A63"/>
      <c r="H63"/>
    </row>
    <row r="64" spans="1:8" ht="36" customHeight="1">
      <c r="A64"/>
      <c r="H64"/>
    </row>
    <row r="65" spans="1:8" ht="12.75">
      <c r="A65"/>
      <c r="H65"/>
    </row>
    <row r="66" spans="1:8" ht="12.75">
      <c r="A66"/>
      <c r="H66"/>
    </row>
    <row r="67" spans="1:8" ht="12.75">
      <c r="A67"/>
      <c r="H67"/>
    </row>
    <row r="68" spans="1:8" ht="12.75">
      <c r="A68"/>
      <c r="H68"/>
    </row>
    <row r="69" spans="1:8" ht="12.75">
      <c r="A69"/>
      <c r="H69"/>
    </row>
    <row r="70" spans="1:8" ht="12.75">
      <c r="A70"/>
      <c r="H70"/>
    </row>
    <row r="71" spans="1:8" ht="12.75">
      <c r="A71"/>
      <c r="H71"/>
    </row>
    <row r="72" spans="1:8" ht="12.75">
      <c r="A72"/>
      <c r="H72"/>
    </row>
    <row r="73" spans="1:8" ht="12.75">
      <c r="A73"/>
      <c r="H73"/>
    </row>
    <row r="74" spans="1:8" ht="12.75">
      <c r="A74"/>
      <c r="H74"/>
    </row>
    <row r="75" spans="1:8" ht="12.75">
      <c r="A75"/>
      <c r="H75"/>
    </row>
    <row r="76" spans="1:8" ht="12.75">
      <c r="A76"/>
      <c r="H76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M9" sqref="M9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96"/>
      <c r="B1" s="97" t="s">
        <v>83</v>
      </c>
      <c r="C1" s="97" t="s">
        <v>84</v>
      </c>
      <c r="D1" s="97" t="s">
        <v>85</v>
      </c>
      <c r="E1" s="97" t="s">
        <v>86</v>
      </c>
      <c r="F1" s="97" t="s">
        <v>87</v>
      </c>
      <c r="G1" s="97" t="s">
        <v>67</v>
      </c>
      <c r="H1" s="98" t="s">
        <v>68</v>
      </c>
      <c r="I1" s="97" t="s">
        <v>69</v>
      </c>
      <c r="J1" s="97" t="s">
        <v>70</v>
      </c>
      <c r="K1" s="99" t="s">
        <v>88</v>
      </c>
      <c r="L1" s="99" t="s">
        <v>89</v>
      </c>
      <c r="M1" s="100" t="s">
        <v>90</v>
      </c>
      <c r="N1" s="101" t="s">
        <v>72</v>
      </c>
      <c r="O1" s="102" t="s">
        <v>91</v>
      </c>
      <c r="P1" s="102" t="s">
        <v>92</v>
      </c>
      <c r="Q1" s="102" t="s">
        <v>93</v>
      </c>
      <c r="R1" s="102" t="s">
        <v>94</v>
      </c>
    </row>
    <row r="2" spans="1:18" ht="12.75">
      <c r="A2" s="96"/>
      <c r="B2" s="103">
        <f aca="true" t="shared" si="0" ref="B2:N2">IF(ISBLANK(B3),"",B3)</f>
      </c>
      <c r="C2" s="103">
        <f t="shared" si="0"/>
      </c>
      <c r="D2" s="103">
        <f t="shared" si="0"/>
      </c>
      <c r="E2" s="103">
        <f t="shared" si="0"/>
      </c>
      <c r="F2" s="103">
        <f t="shared" si="0"/>
      </c>
      <c r="G2" s="103">
        <f t="shared" si="0"/>
      </c>
      <c r="H2" s="103">
        <f t="shared" si="0"/>
      </c>
      <c r="I2" s="103">
        <f t="shared" si="0"/>
      </c>
      <c r="J2" s="103">
        <f t="shared" si="0"/>
      </c>
      <c r="K2" s="104">
        <f t="shared" si="0"/>
      </c>
      <c r="L2" s="104">
        <f t="shared" si="0"/>
      </c>
      <c r="M2" s="104">
        <f t="shared" si="0"/>
      </c>
      <c r="N2" s="103">
        <f t="shared" si="0"/>
      </c>
      <c r="O2" s="105"/>
      <c r="P2" s="106"/>
      <c r="Q2" s="105"/>
      <c r="R2" s="105"/>
    </row>
    <row r="3" spans="1:18" ht="12.75">
      <c r="A3" s="107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09"/>
      <c r="M3" s="109"/>
      <c r="N3" s="108"/>
      <c r="O3" s="110"/>
      <c r="P3" s="111"/>
      <c r="Q3" s="110"/>
      <c r="R3" s="110"/>
    </row>
    <row r="4" spans="2:18" ht="12.75"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109"/>
      <c r="M4" s="109"/>
      <c r="N4" s="108"/>
      <c r="O4" s="111"/>
      <c r="P4" s="111"/>
      <c r="Q4" s="111"/>
      <c r="R4" s="110"/>
    </row>
    <row r="5" spans="1:18" ht="12.7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9"/>
      <c r="L5" s="109"/>
      <c r="M5" s="109"/>
      <c r="N5" s="108"/>
      <c r="O5" s="110"/>
      <c r="P5" s="110"/>
      <c r="Q5" s="110"/>
      <c r="R5" s="110"/>
    </row>
    <row r="6" spans="1:18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109"/>
      <c r="M6" s="109"/>
      <c r="N6" s="108"/>
      <c r="O6" s="110"/>
      <c r="P6" s="110"/>
      <c r="Q6" s="110"/>
      <c r="R6" s="110"/>
    </row>
    <row r="7" spans="2:18" ht="12.75"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09"/>
      <c r="M7" s="109"/>
      <c r="N7" s="108"/>
      <c r="O7" s="111"/>
      <c r="P7" s="110"/>
      <c r="Q7" s="111"/>
      <c r="R7" s="110"/>
    </row>
    <row r="8" spans="1:18" ht="12.75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9"/>
      <c r="L8" s="109"/>
      <c r="M8" s="109"/>
      <c r="N8" s="108"/>
      <c r="O8" s="110"/>
      <c r="P8" s="111"/>
      <c r="Q8" s="110"/>
      <c r="R8" s="110"/>
    </row>
    <row r="9" spans="2:18" ht="12.75"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109"/>
      <c r="M9" s="109"/>
      <c r="N9" s="108"/>
      <c r="O9" s="111"/>
      <c r="P9" s="111"/>
      <c r="Q9" s="111"/>
      <c r="R9" s="110"/>
    </row>
    <row r="10" spans="1:18" ht="12.7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9"/>
      <c r="L10" s="109"/>
      <c r="M10" s="109"/>
      <c r="N10" s="108"/>
      <c r="O10" s="110"/>
      <c r="P10" s="111"/>
      <c r="Q10" s="110"/>
      <c r="R10" s="110"/>
    </row>
    <row r="11" spans="2:18" ht="12.75"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109"/>
      <c r="M11" s="109"/>
      <c r="N11" s="108"/>
      <c r="O11" s="111"/>
      <c r="P11" s="110"/>
      <c r="Q11" s="111"/>
      <c r="R11" s="110"/>
    </row>
    <row r="12" spans="1:18" ht="12.7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109"/>
      <c r="M12" s="109"/>
      <c r="N12" s="108"/>
      <c r="O12" s="110"/>
      <c r="P12" s="111"/>
      <c r="Q12" s="110"/>
      <c r="R12" s="110"/>
    </row>
    <row r="13" spans="1:18" ht="12.7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9"/>
      <c r="L13" s="109"/>
      <c r="M13" s="109"/>
      <c r="N13" s="108"/>
      <c r="O13" s="110"/>
      <c r="P13" s="110"/>
      <c r="Q13" s="110"/>
      <c r="R13" s="110"/>
    </row>
    <row r="14" spans="1:18" ht="12.7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109"/>
      <c r="M14" s="109"/>
      <c r="N14" s="108"/>
      <c r="O14" s="110"/>
      <c r="P14" s="111"/>
      <c r="Q14" s="110"/>
      <c r="R14" s="110"/>
    </row>
    <row r="15" spans="1:18" ht="12.75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9"/>
      <c r="L15" s="109"/>
      <c r="M15" s="109"/>
      <c r="N15" s="108"/>
      <c r="O15" s="110"/>
      <c r="P15" s="111"/>
      <c r="Q15" s="110"/>
      <c r="R15" s="110"/>
    </row>
    <row r="16" spans="1:18" ht="12.7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9"/>
      <c r="L16" s="109"/>
      <c r="M16" s="109"/>
      <c r="N16" s="108"/>
      <c r="O16" s="110"/>
      <c r="P16" s="110"/>
      <c r="Q16" s="110"/>
      <c r="R16" s="110"/>
    </row>
    <row r="17" spans="1:18" ht="12.7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12"/>
      <c r="L17" s="109"/>
      <c r="M17" s="109"/>
      <c r="N17" s="108"/>
      <c r="O17" s="110"/>
      <c r="P17" s="111"/>
      <c r="Q17" s="110"/>
      <c r="R17" s="110"/>
    </row>
    <row r="18" spans="1:18" ht="12.75">
      <c r="A18" s="107"/>
      <c r="B18" s="108"/>
      <c r="C18" s="108"/>
      <c r="D18" s="108"/>
      <c r="E18" s="113"/>
      <c r="F18" s="108"/>
      <c r="G18" s="108"/>
      <c r="H18" s="108"/>
      <c r="I18" s="108"/>
      <c r="J18" s="108"/>
      <c r="K18" s="109"/>
      <c r="L18" s="109"/>
      <c r="M18" s="109"/>
      <c r="N18" s="108"/>
      <c r="O18" s="110"/>
      <c r="P18" s="111"/>
      <c r="Q18" s="110"/>
      <c r="R18" s="110"/>
    </row>
    <row r="19" spans="1:18" ht="12.7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109"/>
      <c r="M19" s="109"/>
      <c r="N19" s="108"/>
      <c r="O19" s="110"/>
      <c r="P19" s="111"/>
      <c r="Q19" s="110"/>
      <c r="R19" s="110"/>
    </row>
    <row r="20" spans="1:18" ht="12.7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109"/>
      <c r="M20" s="109"/>
      <c r="N20" s="108"/>
      <c r="O20" s="110"/>
      <c r="P20" s="111"/>
      <c r="Q20" s="110"/>
      <c r="R20" s="110"/>
    </row>
    <row r="21" spans="1:18" ht="12.7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L21" s="109"/>
      <c r="M21" s="109"/>
      <c r="N21" s="108"/>
      <c r="O21" s="110"/>
      <c r="P21" s="110"/>
      <c r="Q21" s="110"/>
      <c r="R21" s="110"/>
    </row>
    <row r="22" spans="1:18" ht="12.7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L22" s="109"/>
      <c r="M22" s="109"/>
      <c r="N22" s="108"/>
      <c r="O22" s="110"/>
      <c r="P22" s="110"/>
      <c r="Q22" s="110"/>
      <c r="R22" s="110"/>
    </row>
    <row r="23" spans="1:18" ht="12.7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9"/>
      <c r="L23" s="109"/>
      <c r="M23" s="109"/>
      <c r="N23" s="108"/>
      <c r="O23" s="110"/>
      <c r="P23" s="110"/>
      <c r="Q23" s="110"/>
      <c r="R23" s="110"/>
    </row>
    <row r="24" spans="1:18" ht="12.7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9"/>
      <c r="L24" s="109"/>
      <c r="M24" s="109"/>
      <c r="N24" s="108"/>
      <c r="O24" s="110"/>
      <c r="P24" s="111"/>
      <c r="Q24" s="110"/>
      <c r="R24" s="110"/>
    </row>
    <row r="25" spans="1:18" ht="12.75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9"/>
      <c r="L25" s="109"/>
      <c r="M25" s="109"/>
      <c r="N25" s="108"/>
      <c r="O25" s="110"/>
      <c r="P25" s="110"/>
      <c r="Q25" s="110"/>
      <c r="R25" s="110"/>
    </row>
    <row r="26" spans="1:18" ht="12.7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9"/>
      <c r="L26" s="109"/>
      <c r="M26" s="109"/>
      <c r="N26" s="108"/>
      <c r="O26" s="110"/>
      <c r="P26" s="111"/>
      <c r="Q26" s="110"/>
      <c r="R26" s="110"/>
    </row>
    <row r="27" spans="1:18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9"/>
      <c r="L27" s="109"/>
      <c r="M27" s="109"/>
      <c r="N27" s="108"/>
      <c r="O27" s="110"/>
      <c r="P27" s="111"/>
      <c r="Q27" s="110"/>
      <c r="R27" s="110"/>
    </row>
    <row r="28" spans="1:18" ht="12.7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9"/>
      <c r="L28" s="109"/>
      <c r="M28" s="109"/>
      <c r="N28" s="108"/>
      <c r="O28" s="110"/>
      <c r="P28" s="111"/>
      <c r="Q28" s="110"/>
      <c r="R28" s="110"/>
    </row>
    <row r="29" spans="1:18" ht="12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9"/>
      <c r="L29" s="109"/>
      <c r="M29" s="109"/>
      <c r="N29" s="108"/>
      <c r="O29" s="110"/>
      <c r="P29" s="111"/>
      <c r="Q29" s="110"/>
      <c r="R29" s="110"/>
    </row>
    <row r="30" spans="1:18" ht="12.7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109"/>
      <c r="M30" s="109"/>
      <c r="N30" s="108"/>
      <c r="O30" s="110"/>
      <c r="P30" s="111"/>
      <c r="Q30" s="110"/>
      <c r="R30" s="110"/>
    </row>
    <row r="31" spans="1:18" ht="12.7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9"/>
      <c r="L31" s="109"/>
      <c r="M31" s="109"/>
      <c r="N31" s="108"/>
      <c r="O31" s="110"/>
      <c r="P31" s="111"/>
      <c r="Q31" s="110"/>
      <c r="R31" s="110"/>
    </row>
    <row r="32" spans="11:18" ht="12.75">
      <c r="K32" s="114"/>
      <c r="L32" s="114"/>
      <c r="M32" s="114"/>
      <c r="O32" s="115"/>
      <c r="Q32" s="115"/>
      <c r="R32" s="115"/>
    </row>
    <row r="34" ht="12.75">
      <c r="P34" t="s">
        <v>95</v>
      </c>
    </row>
    <row r="35" ht="12.75">
      <c r="P35" t="s">
        <v>96</v>
      </c>
    </row>
    <row r="36" ht="12.75">
      <c r="P36" t="s">
        <v>97</v>
      </c>
    </row>
    <row r="37" ht="12.75">
      <c r="P37" t="s">
        <v>98</v>
      </c>
    </row>
    <row r="38" ht="12.75">
      <c r="P38" t="s">
        <v>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48"/>
  <sheetViews>
    <sheetView showGridLines="0" tabSelected="1" workbookViewId="0" topLeftCell="A1">
      <selection activeCell="L43" sqref="L43"/>
    </sheetView>
  </sheetViews>
  <sheetFormatPr defaultColWidth="9.140625" defaultRowHeight="12.75"/>
  <cols>
    <col min="1" max="1" width="6.57421875" style="116" customWidth="1"/>
    <col min="2" max="2" width="3.7109375" style="117" customWidth="1"/>
    <col min="3" max="3" width="32.7109375" style="118" customWidth="1"/>
    <col min="4" max="4" width="6.57421875" style="116" customWidth="1"/>
    <col min="5" max="5" width="0.71875" style="0" customWidth="1"/>
    <col min="6" max="6" width="6.57421875" style="116" customWidth="1"/>
    <col min="7" max="7" width="3.7109375" style="117" customWidth="1"/>
    <col min="8" max="8" width="32.7109375" style="118" customWidth="1"/>
    <col min="9" max="9" width="6.57421875" style="116" customWidth="1"/>
    <col min="11" max="11" width="6.57421875" style="0" customWidth="1"/>
    <col min="12" max="12" width="3.7109375" style="0" customWidth="1"/>
    <col min="13" max="13" width="32.140625" style="0" customWidth="1"/>
    <col min="14" max="14" width="4.57421875" style="0" customWidth="1"/>
    <col min="16" max="16" width="5.57421875" style="0" customWidth="1"/>
    <col min="17" max="17" width="3.7109375" style="0" customWidth="1"/>
    <col min="18" max="18" width="31.7109375" style="0" customWidth="1"/>
    <col min="19" max="19" width="4.57421875" style="0" customWidth="1"/>
  </cols>
  <sheetData>
    <row r="1" spans="1:9" ht="60.75">
      <c r="A1" s="119" t="s">
        <v>100</v>
      </c>
      <c r="B1" s="120" t="s">
        <v>101</v>
      </c>
      <c r="C1" s="121" t="s">
        <v>102</v>
      </c>
      <c r="D1" s="122" t="s">
        <v>103</v>
      </c>
      <c r="F1" s="119" t="s">
        <v>100</v>
      </c>
      <c r="G1" s="120" t="s">
        <v>101</v>
      </c>
      <c r="H1" s="121" t="s">
        <v>102</v>
      </c>
      <c r="I1" s="122" t="s">
        <v>103</v>
      </c>
    </row>
    <row r="2" spans="1:9" ht="12.75">
      <c r="A2" s="123"/>
      <c r="B2" s="124"/>
      <c r="C2" s="125" t="s">
        <v>104</v>
      </c>
      <c r="D2" s="126"/>
      <c r="F2" s="123">
        <f>A16</f>
        <v>70.8</v>
      </c>
      <c r="G2" s="124"/>
      <c r="H2" s="127" t="s">
        <v>105</v>
      </c>
      <c r="I2" s="128">
        <v>0.1</v>
      </c>
    </row>
    <row r="3" spans="1:9" ht="12.75">
      <c r="A3" s="123"/>
      <c r="B3" s="129"/>
      <c r="C3" s="130" t="s">
        <v>106</v>
      </c>
      <c r="D3" s="126"/>
      <c r="F3" s="123">
        <f>F2+I2</f>
        <v>70.89999999999999</v>
      </c>
      <c r="G3" s="124" t="s">
        <v>107</v>
      </c>
      <c r="H3" s="131" t="s">
        <v>108</v>
      </c>
      <c r="I3" s="126">
        <v>0</v>
      </c>
    </row>
    <row r="4" spans="1:9" ht="12.75">
      <c r="A4" s="123"/>
      <c r="B4" s="124"/>
      <c r="C4" s="132" t="s">
        <v>109</v>
      </c>
      <c r="D4" s="126"/>
      <c r="F4" s="123">
        <f aca="true" t="shared" si="0" ref="F4:F19">F3+I3</f>
        <v>70.89999999999999</v>
      </c>
      <c r="G4" s="124" t="s">
        <v>110</v>
      </c>
      <c r="H4" s="131" t="s">
        <v>111</v>
      </c>
      <c r="I4" s="126">
        <v>18.8</v>
      </c>
    </row>
    <row r="5" spans="1:9" ht="12.75">
      <c r="A5" s="123"/>
      <c r="B5" s="124"/>
      <c r="C5" s="131"/>
      <c r="D5" s="126"/>
      <c r="F5" s="123">
        <f t="shared" si="0"/>
        <v>89.69999999999999</v>
      </c>
      <c r="G5" s="124" t="s">
        <v>112</v>
      </c>
      <c r="H5" s="133" t="s">
        <v>113</v>
      </c>
      <c r="I5" s="126">
        <v>2.3</v>
      </c>
    </row>
    <row r="6" spans="1:9" ht="12.75">
      <c r="A6" s="123"/>
      <c r="B6" s="124"/>
      <c r="C6" s="131" t="s">
        <v>114</v>
      </c>
      <c r="D6" s="126"/>
      <c r="F6" s="123">
        <f t="shared" si="0"/>
        <v>91.99999999999999</v>
      </c>
      <c r="G6" s="124" t="s">
        <v>110</v>
      </c>
      <c r="H6" s="134" t="s">
        <v>115</v>
      </c>
      <c r="I6" s="126">
        <v>0.3000000000000007</v>
      </c>
    </row>
    <row r="7" spans="1:9" ht="12.75">
      <c r="A7" s="123">
        <v>0</v>
      </c>
      <c r="B7" s="124" t="s">
        <v>112</v>
      </c>
      <c r="C7" s="131" t="s">
        <v>116</v>
      </c>
      <c r="D7" s="135">
        <v>0</v>
      </c>
      <c r="F7" s="123">
        <f t="shared" si="0"/>
        <v>92.29999999999998</v>
      </c>
      <c r="G7" s="124" t="s">
        <v>107</v>
      </c>
      <c r="H7" s="133" t="s">
        <v>117</v>
      </c>
      <c r="I7" s="126">
        <v>0.6000000000000014</v>
      </c>
    </row>
    <row r="8" spans="1:9" ht="12.75">
      <c r="A8" s="123">
        <v>0</v>
      </c>
      <c r="B8" s="124" t="s">
        <v>112</v>
      </c>
      <c r="C8" s="131" t="s">
        <v>118</v>
      </c>
      <c r="D8" s="126">
        <v>0.4</v>
      </c>
      <c r="F8" s="123">
        <f t="shared" si="0"/>
        <v>92.89999999999998</v>
      </c>
      <c r="G8" s="124" t="s">
        <v>107</v>
      </c>
      <c r="H8" s="133" t="s">
        <v>119</v>
      </c>
      <c r="I8" s="126">
        <v>0.3999999999999986</v>
      </c>
    </row>
    <row r="9" spans="1:9" ht="12.75">
      <c r="A9" s="123">
        <v>0.4</v>
      </c>
      <c r="B9" s="124" t="s">
        <v>110</v>
      </c>
      <c r="C9" s="131" t="s">
        <v>120</v>
      </c>
      <c r="D9" s="126">
        <v>0.4</v>
      </c>
      <c r="F9" s="123">
        <f t="shared" si="0"/>
        <v>93.29999999999998</v>
      </c>
      <c r="G9" s="124" t="s">
        <v>110</v>
      </c>
      <c r="H9" s="133" t="s">
        <v>121</v>
      </c>
      <c r="I9" s="126">
        <v>0.6999999999999993</v>
      </c>
    </row>
    <row r="10" spans="1:9" ht="12.75">
      <c r="A10" s="123">
        <v>0.8</v>
      </c>
      <c r="B10" s="124" t="s">
        <v>112</v>
      </c>
      <c r="C10" s="131" t="s">
        <v>122</v>
      </c>
      <c r="D10" s="126">
        <v>0.1</v>
      </c>
      <c r="F10" s="123">
        <f t="shared" si="0"/>
        <v>93.99999999999999</v>
      </c>
      <c r="G10" s="124" t="s">
        <v>107</v>
      </c>
      <c r="H10" s="133" t="s">
        <v>123</v>
      </c>
      <c r="I10" s="126">
        <v>10.8</v>
      </c>
    </row>
    <row r="11" spans="1:9" ht="12.75">
      <c r="A11" s="123">
        <v>0.9</v>
      </c>
      <c r="B11" s="124" t="s">
        <v>107</v>
      </c>
      <c r="C11" s="131" t="s">
        <v>124</v>
      </c>
      <c r="D11" s="126">
        <v>68.4</v>
      </c>
      <c r="F11" s="123">
        <f t="shared" si="0"/>
        <v>104.79999999999998</v>
      </c>
      <c r="G11" s="124" t="s">
        <v>110</v>
      </c>
      <c r="H11" s="133" t="s">
        <v>125</v>
      </c>
      <c r="I11" s="126">
        <v>0.3999999999999986</v>
      </c>
    </row>
    <row r="12" spans="1:9" ht="12.75">
      <c r="A12" s="123">
        <v>69.3</v>
      </c>
      <c r="B12" s="124" t="s">
        <v>110</v>
      </c>
      <c r="C12" s="131" t="s">
        <v>126</v>
      </c>
      <c r="D12" s="126">
        <v>0.29999999999999716</v>
      </c>
      <c r="F12" s="123">
        <f t="shared" si="0"/>
        <v>105.19999999999999</v>
      </c>
      <c r="G12" s="124" t="s">
        <v>107</v>
      </c>
      <c r="H12" s="136" t="s">
        <v>127</v>
      </c>
      <c r="I12" s="126">
        <v>2.9</v>
      </c>
    </row>
    <row r="13" spans="1:9" ht="12.75">
      <c r="A13" s="123">
        <v>69.6</v>
      </c>
      <c r="B13" s="124" t="s">
        <v>107</v>
      </c>
      <c r="C13" s="131" t="s">
        <v>128</v>
      </c>
      <c r="D13" s="126">
        <v>1.1000000000000085</v>
      </c>
      <c r="F13" s="123">
        <f t="shared" si="0"/>
        <v>108.1</v>
      </c>
      <c r="G13" s="124" t="s">
        <v>107</v>
      </c>
      <c r="H13" s="131" t="s">
        <v>129</v>
      </c>
      <c r="I13" s="126">
        <v>29.6</v>
      </c>
    </row>
    <row r="14" spans="1:9" ht="12.75">
      <c r="A14" s="123">
        <v>70.7</v>
      </c>
      <c r="B14" s="124" t="s">
        <v>112</v>
      </c>
      <c r="C14" s="137" t="s">
        <v>130</v>
      </c>
      <c r="D14" s="126">
        <v>0.09999999999999432</v>
      </c>
      <c r="F14" s="123">
        <f t="shared" si="0"/>
        <v>137.7</v>
      </c>
      <c r="G14" s="124" t="s">
        <v>112</v>
      </c>
      <c r="H14" s="137" t="s">
        <v>131</v>
      </c>
      <c r="I14" s="126">
        <v>0.29999999999999716</v>
      </c>
    </row>
    <row r="15" spans="1:9" ht="12.75">
      <c r="A15" s="138"/>
      <c r="B15" s="139"/>
      <c r="C15" s="139"/>
      <c r="D15" s="126"/>
      <c r="F15" s="123">
        <f t="shared" si="0"/>
        <v>138</v>
      </c>
      <c r="G15" s="140" t="s">
        <v>112</v>
      </c>
      <c r="H15" s="133" t="s">
        <v>132</v>
      </c>
      <c r="I15" s="126">
        <v>0.29999999999999716</v>
      </c>
    </row>
    <row r="16" spans="1:9" ht="12.75">
      <c r="A16" s="138">
        <v>70.8</v>
      </c>
      <c r="B16" s="139" t="s">
        <v>107</v>
      </c>
      <c r="C16" s="139" t="s">
        <v>133</v>
      </c>
      <c r="D16" s="126"/>
      <c r="F16" s="123">
        <f t="shared" si="0"/>
        <v>138.3</v>
      </c>
      <c r="G16" s="124" t="s">
        <v>110</v>
      </c>
      <c r="H16" s="131" t="s">
        <v>134</v>
      </c>
      <c r="I16" s="126">
        <v>0.5</v>
      </c>
    </row>
    <row r="17" spans="1:9" ht="12.75">
      <c r="A17" s="123"/>
      <c r="B17" s="124"/>
      <c r="C17" s="125" t="s">
        <v>135</v>
      </c>
      <c r="D17" s="126"/>
      <c r="F17" s="123">
        <f t="shared" si="0"/>
        <v>138.8</v>
      </c>
      <c r="G17" s="124" t="s">
        <v>107</v>
      </c>
      <c r="H17" s="137" t="s">
        <v>136</v>
      </c>
      <c r="I17" s="126">
        <v>1.2</v>
      </c>
    </row>
    <row r="18" spans="1:9" ht="12.75">
      <c r="A18" s="123"/>
      <c r="B18" s="124"/>
      <c r="C18" s="133"/>
      <c r="D18" s="126"/>
      <c r="F18" s="123">
        <f t="shared" si="0"/>
        <v>140</v>
      </c>
      <c r="G18" s="124" t="s">
        <v>110</v>
      </c>
      <c r="H18" s="131" t="s">
        <v>137</v>
      </c>
      <c r="I18" s="126">
        <v>0.20000000000000284</v>
      </c>
    </row>
    <row r="19" spans="1:9" ht="12.75">
      <c r="A19" s="138"/>
      <c r="B19" s="139"/>
      <c r="C19" s="125"/>
      <c r="D19" s="126"/>
      <c r="F19" s="123">
        <f t="shared" si="0"/>
        <v>140.2</v>
      </c>
      <c r="G19" s="124" t="s">
        <v>107</v>
      </c>
      <c r="H19" s="127" t="s">
        <v>138</v>
      </c>
      <c r="I19" s="126">
        <v>0.09999999999999432</v>
      </c>
    </row>
    <row r="20" spans="1:9" ht="12.75">
      <c r="A20" s="123"/>
      <c r="B20" s="124"/>
      <c r="C20" s="125"/>
      <c r="D20" s="126"/>
      <c r="F20" s="123"/>
      <c r="G20" s="124"/>
      <c r="H20" s="136"/>
      <c r="I20" s="126"/>
    </row>
    <row r="21" spans="1:9" ht="12.75">
      <c r="A21" s="123"/>
      <c r="B21" s="124"/>
      <c r="C21" s="136"/>
      <c r="D21" s="126"/>
      <c r="F21" s="138">
        <f>F19+I19</f>
        <v>140.29999999999998</v>
      </c>
      <c r="G21" s="139" t="s">
        <v>110</v>
      </c>
      <c r="H21" s="139" t="s">
        <v>139</v>
      </c>
      <c r="I21" s="126"/>
    </row>
    <row r="22" spans="1:9" ht="12.75">
      <c r="A22" s="123"/>
      <c r="B22" s="124"/>
      <c r="C22" s="131"/>
      <c r="D22" s="126"/>
      <c r="F22" s="138"/>
      <c r="G22" s="139"/>
      <c r="H22" s="139" t="s">
        <v>140</v>
      </c>
      <c r="I22" s="126"/>
    </row>
    <row r="23" spans="1:9" ht="12.75">
      <c r="A23" s="141"/>
      <c r="B23" s="142"/>
      <c r="C23" s="143"/>
      <c r="D23" s="144"/>
      <c r="F23" s="141"/>
      <c r="G23" s="142"/>
      <c r="H23" s="145"/>
      <c r="I23" s="144"/>
    </row>
    <row r="24" spans="1:9" ht="4.5" customHeight="1">
      <c r="A24" s="146"/>
      <c r="B24" s="147"/>
      <c r="C24" s="148"/>
      <c r="D24" s="146"/>
      <c r="F24" s="146"/>
      <c r="G24" s="147"/>
      <c r="H24" s="148"/>
      <c r="I24" s="146"/>
    </row>
    <row r="25" spans="1:9" ht="60.75">
      <c r="A25" s="119" t="s">
        <v>100</v>
      </c>
      <c r="B25" s="120" t="s">
        <v>101</v>
      </c>
      <c r="C25" s="121" t="s">
        <v>102</v>
      </c>
      <c r="D25" s="122" t="s">
        <v>103</v>
      </c>
      <c r="F25" s="119" t="s">
        <v>100</v>
      </c>
      <c r="G25" s="120" t="s">
        <v>101</v>
      </c>
      <c r="H25" s="121" t="s">
        <v>102</v>
      </c>
      <c r="I25" s="122" t="s">
        <v>103</v>
      </c>
    </row>
    <row r="26" spans="1:104" s="151" customFormat="1" ht="12.75">
      <c r="A26" s="123">
        <f>F21</f>
        <v>140.29999999999998</v>
      </c>
      <c r="B26" s="124" t="s">
        <v>110</v>
      </c>
      <c r="C26" s="131" t="s">
        <v>141</v>
      </c>
      <c r="D26" s="126">
        <v>0.3</v>
      </c>
      <c r="E26"/>
      <c r="F26" s="123">
        <f>A46</f>
        <v>373.90000000000003</v>
      </c>
      <c r="G26" s="149" t="s">
        <v>107</v>
      </c>
      <c r="H26" s="150" t="s">
        <v>142</v>
      </c>
      <c r="I26" s="126">
        <v>0.3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51" customFormat="1" ht="12.75">
      <c r="A27" s="123">
        <f>A26+D26</f>
        <v>140.6</v>
      </c>
      <c r="B27" s="124" t="s">
        <v>110</v>
      </c>
      <c r="C27" s="131" t="s">
        <v>143</v>
      </c>
      <c r="D27" s="126">
        <v>0.7</v>
      </c>
      <c r="E27"/>
      <c r="F27" s="123">
        <f>F26+I26</f>
        <v>374.20000000000005</v>
      </c>
      <c r="G27" s="149" t="s">
        <v>107</v>
      </c>
      <c r="H27" s="133" t="s">
        <v>144</v>
      </c>
      <c r="I27" s="126">
        <v>103.6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51" customFormat="1" ht="12.75">
      <c r="A28" s="123">
        <f>A27+D27</f>
        <v>141.29999999999998</v>
      </c>
      <c r="B28" s="152" t="s">
        <v>112</v>
      </c>
      <c r="C28" s="136" t="s">
        <v>145</v>
      </c>
      <c r="D28" s="126">
        <v>63.1</v>
      </c>
      <c r="E28"/>
      <c r="F28" s="123">
        <f>F27+I27</f>
        <v>477.80000000000007</v>
      </c>
      <c r="G28" s="149" t="s">
        <v>110</v>
      </c>
      <c r="H28" s="153" t="s">
        <v>146</v>
      </c>
      <c r="I28" s="126">
        <v>0.3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51" customFormat="1" ht="12.75">
      <c r="A29" s="123">
        <f>A28+D28</f>
        <v>204.39999999999998</v>
      </c>
      <c r="B29" s="152" t="s">
        <v>110</v>
      </c>
      <c r="C29" s="136" t="s">
        <v>147</v>
      </c>
      <c r="D29" s="126">
        <v>0.10000000000000853</v>
      </c>
      <c r="E29"/>
      <c r="F29" s="154"/>
      <c r="G29" s="149"/>
      <c r="H29" s="131"/>
      <c r="I29" s="12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51" customFormat="1" ht="12.75">
      <c r="A30" s="123"/>
      <c r="B30" s="140"/>
      <c r="C30" s="130"/>
      <c r="D30" s="126"/>
      <c r="E30"/>
      <c r="F30" s="138">
        <f>F28+I28</f>
        <v>478.1000000000001</v>
      </c>
      <c r="G30" s="139" t="s">
        <v>107</v>
      </c>
      <c r="H30" s="139" t="s">
        <v>148</v>
      </c>
      <c r="I30" s="12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51" customFormat="1" ht="12.75">
      <c r="A31" s="138">
        <f>A29+D29</f>
        <v>204.5</v>
      </c>
      <c r="B31" s="124"/>
      <c r="C31" s="132" t="s">
        <v>149</v>
      </c>
      <c r="D31" s="126"/>
      <c r="E31"/>
      <c r="F31" s="138"/>
      <c r="G31" s="124"/>
      <c r="H31" s="139" t="s">
        <v>150</v>
      </c>
      <c r="I31" s="12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51" customFormat="1" ht="12.75">
      <c r="A32" s="123"/>
      <c r="B32" s="155"/>
      <c r="C32" s="132" t="s">
        <v>151</v>
      </c>
      <c r="D32" s="135"/>
      <c r="E32"/>
      <c r="F32" s="123"/>
      <c r="G32" s="156"/>
      <c r="H32" s="153"/>
      <c r="I32" s="126"/>
      <c r="J32" s="15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51" customFormat="1" ht="12.75">
      <c r="A33" s="123"/>
      <c r="B33" s="124"/>
      <c r="C33" s="133"/>
      <c r="D33" s="126"/>
      <c r="E33"/>
      <c r="F33" s="123"/>
      <c r="G33" s="124" t="s">
        <v>110</v>
      </c>
      <c r="H33" s="134" t="s">
        <v>152</v>
      </c>
      <c r="I33" s="126">
        <v>0.3</v>
      </c>
      <c r="J33" s="157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51" customFormat="1" ht="12.75">
      <c r="A34" s="123">
        <f>A31</f>
        <v>204.5</v>
      </c>
      <c r="B34" s="129" t="s">
        <v>107</v>
      </c>
      <c r="C34" s="133" t="s">
        <v>153</v>
      </c>
      <c r="D34" s="126">
        <v>0.1</v>
      </c>
      <c r="E34"/>
      <c r="F34" s="123">
        <f>F30+I33</f>
        <v>478.4000000000001</v>
      </c>
      <c r="G34" s="124" t="s">
        <v>110</v>
      </c>
      <c r="H34" s="134" t="s">
        <v>154</v>
      </c>
      <c r="I34" s="126">
        <v>65.3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51" customFormat="1" ht="12.75">
      <c r="A35" s="123">
        <f>A34+D34</f>
        <v>204.6</v>
      </c>
      <c r="B35" s="124" t="s">
        <v>110</v>
      </c>
      <c r="C35" s="153" t="s">
        <v>129</v>
      </c>
      <c r="D35" s="135">
        <v>65.3</v>
      </c>
      <c r="E35"/>
      <c r="F35" s="123">
        <f>F34+I34</f>
        <v>543.7</v>
      </c>
      <c r="G35" s="124" t="s">
        <v>107</v>
      </c>
      <c r="H35" s="134" t="s">
        <v>155</v>
      </c>
      <c r="I35" s="126">
        <v>0.1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51" customFormat="1" ht="12.75">
      <c r="A36" s="123">
        <f>A35+D35</f>
        <v>269.9</v>
      </c>
      <c r="B36" s="152" t="s">
        <v>107</v>
      </c>
      <c r="C36" s="153" t="s">
        <v>146</v>
      </c>
      <c r="D36" s="135">
        <v>0.29999999999999716</v>
      </c>
      <c r="E36"/>
      <c r="F36" s="123"/>
      <c r="G36" s="156"/>
      <c r="H36" s="158"/>
      <c r="I36" s="12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51" customFormat="1" ht="12.75">
      <c r="A37" s="123"/>
      <c r="B37" s="124"/>
      <c r="C37" s="133"/>
      <c r="D37" s="126"/>
      <c r="E37"/>
      <c r="F37" s="138">
        <f>F35+I35</f>
        <v>543.8000000000001</v>
      </c>
      <c r="G37" s="139" t="s">
        <v>110</v>
      </c>
      <c r="H37" s="132" t="s">
        <v>156</v>
      </c>
      <c r="I37" s="12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51" customFormat="1" ht="12.75">
      <c r="A38" s="138">
        <f>A36+D36</f>
        <v>270.2</v>
      </c>
      <c r="B38" s="139" t="s">
        <v>107</v>
      </c>
      <c r="C38" s="139" t="s">
        <v>157</v>
      </c>
      <c r="D38" s="126"/>
      <c r="E38"/>
      <c r="F38" s="123"/>
      <c r="G38" s="149"/>
      <c r="H38" s="132" t="s">
        <v>151</v>
      </c>
      <c r="I38" s="12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51" customFormat="1" ht="12.75">
      <c r="A39" s="123"/>
      <c r="B39" s="124"/>
      <c r="C39" s="139" t="s">
        <v>150</v>
      </c>
      <c r="D39" s="126"/>
      <c r="E39"/>
      <c r="F39" s="123"/>
      <c r="G39" s="124"/>
      <c r="H39" s="133"/>
      <c r="I39" s="12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51" customFormat="1" ht="12.75">
      <c r="A40" s="138"/>
      <c r="B40" s="132"/>
      <c r="C40" s="132"/>
      <c r="D40" s="126"/>
      <c r="E40"/>
      <c r="F40" s="123"/>
      <c r="G40" s="129" t="s">
        <v>107</v>
      </c>
      <c r="H40" s="133" t="s">
        <v>153</v>
      </c>
      <c r="I40" s="126">
        <v>0.1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51" customFormat="1" ht="12.75">
      <c r="A41" s="123"/>
      <c r="B41" s="124" t="s">
        <v>110</v>
      </c>
      <c r="C41" s="134" t="s">
        <v>152</v>
      </c>
      <c r="D41" s="126">
        <v>0.3</v>
      </c>
      <c r="E41"/>
      <c r="F41" s="123">
        <f>F37+I40</f>
        <v>543.9000000000001</v>
      </c>
      <c r="G41" s="124" t="s">
        <v>107</v>
      </c>
      <c r="H41" s="153" t="s">
        <v>154</v>
      </c>
      <c r="I41" s="126">
        <v>63.8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51" customFormat="1" ht="12.75">
      <c r="A42" s="123">
        <f>A38+D41</f>
        <v>270.5</v>
      </c>
      <c r="B42" s="124" t="s">
        <v>107</v>
      </c>
      <c r="C42" s="134" t="s">
        <v>129</v>
      </c>
      <c r="D42" s="126">
        <v>100.7</v>
      </c>
      <c r="E42"/>
      <c r="F42" s="123">
        <f>F41+I41</f>
        <v>607.7</v>
      </c>
      <c r="G42" s="149" t="s">
        <v>107</v>
      </c>
      <c r="H42" s="131" t="s">
        <v>158</v>
      </c>
      <c r="I42" s="126">
        <v>0.5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51" customFormat="1" ht="12.75">
      <c r="A43" s="159">
        <f>A42+D42</f>
        <v>371.2</v>
      </c>
      <c r="B43" s="124" t="s">
        <v>110</v>
      </c>
      <c r="C43" s="134" t="s">
        <v>159</v>
      </c>
      <c r="D43" s="126">
        <v>2.4000000000000057</v>
      </c>
      <c r="E43"/>
      <c r="F43" s="123"/>
      <c r="G43" s="156"/>
      <c r="H43" s="153"/>
      <c r="I43" s="12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51" customFormat="1" ht="12.75">
      <c r="A44" s="159">
        <f>A43+D43</f>
        <v>373.6</v>
      </c>
      <c r="B44" s="124" t="s">
        <v>112</v>
      </c>
      <c r="C44" s="134" t="s">
        <v>160</v>
      </c>
      <c r="D44" s="126">
        <v>0.29999999999999716</v>
      </c>
      <c r="E44"/>
      <c r="F44" s="138">
        <f>F42+I42</f>
        <v>608.2</v>
      </c>
      <c r="G44" s="139" t="s">
        <v>107</v>
      </c>
      <c r="H44" s="125" t="s">
        <v>161</v>
      </c>
      <c r="I44" s="12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51" customFormat="1" ht="12.75">
      <c r="A45" s="123"/>
      <c r="B45" s="124"/>
      <c r="C45" s="134"/>
      <c r="D45" s="126"/>
      <c r="E45"/>
      <c r="F45" s="123"/>
      <c r="G45" s="149"/>
      <c r="H45" s="130" t="s">
        <v>106</v>
      </c>
      <c r="I45" s="12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51" customFormat="1" ht="12.75">
      <c r="A46" s="138">
        <f>A44+D44</f>
        <v>373.90000000000003</v>
      </c>
      <c r="B46" s="139" t="s">
        <v>107</v>
      </c>
      <c r="C46" s="139" t="s">
        <v>162</v>
      </c>
      <c r="D46" s="126"/>
      <c r="E46"/>
      <c r="F46" s="138"/>
      <c r="G46" s="149"/>
      <c r="H46" s="131"/>
      <c r="I46" s="12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41"/>
      <c r="B47" s="145"/>
      <c r="C47" s="145" t="s">
        <v>163</v>
      </c>
      <c r="D47" s="144"/>
      <c r="F47" s="141"/>
      <c r="G47" s="160"/>
      <c r="H47" s="161" t="s">
        <v>164</v>
      </c>
      <c r="I47" s="162"/>
    </row>
    <row r="48" spans="2:7" ht="3.75" customHeight="1">
      <c r="B48" s="118"/>
      <c r="D48" s="118"/>
      <c r="F48" s="118"/>
      <c r="G48" s="118"/>
    </row>
    <row r="72" ht="3" customHeight="1"/>
  </sheetData>
  <sheetProtection selectLockedCells="1" selectUnlockedCells="1"/>
  <printOptions horizontalCentered="1"/>
  <pageMargins left="0.43333333333333335" right="0.5513888888888889" top="0.6298611111111111" bottom="0.5909722222222222" header="0.2361111111111111" footer="0.5513888888888889"/>
  <pageSetup horizontalDpi="300" verticalDpi="300" orientation="portrait"/>
  <headerFooter alignWithMargins="0">
    <oddHeader>&amp;L&amp;8&amp;A&amp;C&amp;"Arial,Bold" Island 1000km BREVET&amp;R&amp;8Page &amp;P of &amp;N</oddHeader>
    <oddFooter>&amp;L&amp;8L = Left
SO = Straight On 
R = Right&amp;CBC Randonneurs Cycling Club
&amp;8Affiliated with &amp;"Arial,Italic"Cycling BC
&amp;"Arial,Regular"Founding member of&amp;"Arial,Italic" Les Randonneurs Mondiaux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showGridLines="0" workbookViewId="0" topLeftCell="A1">
      <selection activeCell="F98" sqref="F98"/>
    </sheetView>
  </sheetViews>
  <sheetFormatPr defaultColWidth="9.140625" defaultRowHeight="12.75"/>
  <cols>
    <col min="1" max="1" width="6.57421875" style="0" customWidth="1"/>
    <col min="2" max="2" width="3.28125" style="0" customWidth="1"/>
    <col min="3" max="3" width="32.8515625" style="0" customWidth="1"/>
    <col min="4" max="4" width="6.57421875" style="0" customWidth="1"/>
    <col min="5" max="5" width="16.8515625" style="1" customWidth="1"/>
  </cols>
  <sheetData>
    <row r="1" spans="1:4" ht="60.75">
      <c r="A1" s="119" t="s">
        <v>100</v>
      </c>
      <c r="B1" s="120" t="s">
        <v>101</v>
      </c>
      <c r="C1" s="121" t="s">
        <v>102</v>
      </c>
      <c r="D1" s="122" t="s">
        <v>103</v>
      </c>
    </row>
    <row r="2" spans="1:5" ht="12.75">
      <c r="A2" s="123"/>
      <c r="B2" s="124"/>
      <c r="C2" s="125" t="s">
        <v>104</v>
      </c>
      <c r="D2" s="126"/>
      <c r="E2" s="163"/>
    </row>
    <row r="3" spans="1:5" ht="12.75">
      <c r="A3" s="123"/>
      <c r="B3" s="129"/>
      <c r="C3" s="130" t="s">
        <v>106</v>
      </c>
      <c r="D3" s="126"/>
      <c r="E3" s="163"/>
    </row>
    <row r="4" spans="1:5" ht="12.75">
      <c r="A4" s="123"/>
      <c r="B4" s="124"/>
      <c r="C4" s="132" t="s">
        <v>109</v>
      </c>
      <c r="D4" s="126"/>
      <c r="E4" s="163"/>
    </row>
    <row r="5" spans="1:5" ht="12.75">
      <c r="A5" s="123"/>
      <c r="B5" s="124"/>
      <c r="C5" s="131"/>
      <c r="D5" s="126"/>
      <c r="E5" s="163"/>
    </row>
    <row r="6" spans="1:5" ht="12.75">
      <c r="A6" s="123"/>
      <c r="B6" s="124"/>
      <c r="C6" s="131" t="s">
        <v>114</v>
      </c>
      <c r="D6" s="126"/>
      <c r="E6" s="163"/>
    </row>
    <row r="7" spans="1:5" ht="12.75">
      <c r="A7" s="123">
        <v>0</v>
      </c>
      <c r="B7" s="124" t="s">
        <v>112</v>
      </c>
      <c r="C7" s="131" t="s">
        <v>116</v>
      </c>
      <c r="D7" s="135">
        <v>0</v>
      </c>
      <c r="E7" s="163"/>
    </row>
    <row r="8" spans="1:5" ht="12.75">
      <c r="A8" s="123">
        <v>0</v>
      </c>
      <c r="B8" s="124" t="s">
        <v>112</v>
      </c>
      <c r="C8" s="131" t="s">
        <v>118</v>
      </c>
      <c r="D8" s="126">
        <v>0.4</v>
      </c>
      <c r="E8" s="163"/>
    </row>
    <row r="9" spans="1:5" ht="12.75">
      <c r="A9" s="123">
        <v>0.4</v>
      </c>
      <c r="B9" s="124" t="s">
        <v>110</v>
      </c>
      <c r="C9" s="131" t="s">
        <v>120</v>
      </c>
      <c r="D9" s="126">
        <v>0.4</v>
      </c>
      <c r="E9" s="163"/>
    </row>
    <row r="10" spans="1:5" ht="12.75">
      <c r="A10" s="123">
        <v>0.8</v>
      </c>
      <c r="B10" s="124" t="s">
        <v>112</v>
      </c>
      <c r="C10" s="131" t="s">
        <v>122</v>
      </c>
      <c r="D10" s="126">
        <v>0.1</v>
      </c>
      <c r="E10"/>
    </row>
    <row r="11" spans="1:5" ht="12.75">
      <c r="A11" s="123">
        <v>0.9</v>
      </c>
      <c r="B11" s="124" t="s">
        <v>107</v>
      </c>
      <c r="C11" s="131" t="s">
        <v>124</v>
      </c>
      <c r="D11" s="126">
        <v>68.4</v>
      </c>
      <c r="E11" s="163"/>
    </row>
    <row r="12" spans="1:5" ht="12.75">
      <c r="A12" s="123">
        <v>69.3</v>
      </c>
      <c r="B12" s="124" t="s">
        <v>110</v>
      </c>
      <c r="C12" s="131" t="s">
        <v>126</v>
      </c>
      <c r="D12" s="126">
        <v>0.29999999999999716</v>
      </c>
      <c r="E12" s="163"/>
    </row>
    <row r="13" spans="1:5" ht="12.75">
      <c r="A13" s="123">
        <v>69.6</v>
      </c>
      <c r="B13" s="124" t="s">
        <v>107</v>
      </c>
      <c r="C13" s="131" t="s">
        <v>128</v>
      </c>
      <c r="D13" s="126">
        <v>1.1000000000000085</v>
      </c>
      <c r="E13" s="163"/>
    </row>
    <row r="14" spans="1:5" ht="12.75">
      <c r="A14" s="123">
        <v>70.7</v>
      </c>
      <c r="B14" s="124" t="s">
        <v>112</v>
      </c>
      <c r="C14" s="137" t="s">
        <v>130</v>
      </c>
      <c r="D14" s="126">
        <v>0.09999999999999432</v>
      </c>
      <c r="E14" s="163"/>
    </row>
    <row r="15" spans="1:5" ht="12.75">
      <c r="A15" s="138"/>
      <c r="B15" s="139"/>
      <c r="C15" s="139"/>
      <c r="D15" s="126"/>
      <c r="E15" s="163"/>
    </row>
    <row r="16" spans="1:5" ht="12.75">
      <c r="A16" s="138">
        <v>70.8</v>
      </c>
      <c r="B16" s="139" t="s">
        <v>107</v>
      </c>
      <c r="C16" s="139" t="s">
        <v>133</v>
      </c>
      <c r="D16" s="126"/>
      <c r="E16" s="163"/>
    </row>
    <row r="17" spans="1:5" ht="12.75">
      <c r="A17" s="123"/>
      <c r="B17" s="124"/>
      <c r="C17" s="125" t="s">
        <v>135</v>
      </c>
      <c r="D17" s="126"/>
      <c r="E17" s="163"/>
    </row>
    <row r="18" spans="1:5" ht="12.75">
      <c r="A18" s="123"/>
      <c r="B18" s="124"/>
      <c r="C18" s="133"/>
      <c r="D18" s="126"/>
      <c r="E18" s="163"/>
    </row>
    <row r="19" spans="1:5" ht="12.75">
      <c r="A19" s="123">
        <v>70.8</v>
      </c>
      <c r="B19" s="124"/>
      <c r="C19" s="127" t="s">
        <v>105</v>
      </c>
      <c r="D19" s="128">
        <v>0.1</v>
      </c>
      <c r="E19" s="163"/>
    </row>
    <row r="20" spans="1:5" ht="12.75">
      <c r="A20" s="123">
        <v>70.9</v>
      </c>
      <c r="B20" s="124" t="s">
        <v>107</v>
      </c>
      <c r="C20" s="131" t="s">
        <v>108</v>
      </c>
      <c r="D20" s="126">
        <v>0</v>
      </c>
      <c r="E20" s="163"/>
    </row>
    <row r="21" spans="1:5" ht="12.75">
      <c r="A21" s="123">
        <v>70.9</v>
      </c>
      <c r="B21" s="124" t="s">
        <v>110</v>
      </c>
      <c r="C21" s="131" t="s">
        <v>111</v>
      </c>
      <c r="D21" s="126">
        <v>18.8</v>
      </c>
      <c r="E21" s="163"/>
    </row>
    <row r="22" spans="1:5" ht="12.75">
      <c r="A22" s="123">
        <v>89.7</v>
      </c>
      <c r="B22" s="124" t="s">
        <v>112</v>
      </c>
      <c r="C22" s="133" t="s">
        <v>113</v>
      </c>
      <c r="D22" s="126">
        <v>2.3</v>
      </c>
      <c r="E22"/>
    </row>
    <row r="23" spans="1:4" ht="12.75">
      <c r="A23" s="123">
        <v>92</v>
      </c>
      <c r="B23" s="124" t="s">
        <v>110</v>
      </c>
      <c r="C23" s="134" t="s">
        <v>115</v>
      </c>
      <c r="D23" s="126">
        <v>0.3000000000000007</v>
      </c>
    </row>
    <row r="24" spans="1:5" ht="12.75">
      <c r="A24" s="123">
        <v>92.3</v>
      </c>
      <c r="B24" s="124" t="s">
        <v>107</v>
      </c>
      <c r="C24" s="133" t="s">
        <v>117</v>
      </c>
      <c r="D24" s="126">
        <v>0.6000000000000014</v>
      </c>
      <c r="E24" s="163"/>
    </row>
    <row r="25" spans="1:5" ht="12.75">
      <c r="A25" s="123">
        <v>92.9</v>
      </c>
      <c r="B25" s="124" t="s">
        <v>107</v>
      </c>
      <c r="C25" s="133" t="s">
        <v>119</v>
      </c>
      <c r="D25" s="126">
        <v>0.3999999999999986</v>
      </c>
      <c r="E25" s="163"/>
    </row>
    <row r="26" spans="1:5" ht="12.75">
      <c r="A26" s="123">
        <v>93.3</v>
      </c>
      <c r="B26" s="124" t="s">
        <v>110</v>
      </c>
      <c r="C26" s="133" t="s">
        <v>121</v>
      </c>
      <c r="D26" s="126">
        <v>0.6999999999999993</v>
      </c>
      <c r="E26" s="163"/>
    </row>
    <row r="27" spans="1:5" ht="12.75">
      <c r="A27" s="123">
        <v>94</v>
      </c>
      <c r="B27" s="124" t="s">
        <v>107</v>
      </c>
      <c r="C27" s="133" t="s">
        <v>123</v>
      </c>
      <c r="D27" s="126">
        <v>10.8</v>
      </c>
      <c r="E27" s="163"/>
    </row>
    <row r="28" spans="1:5" ht="12.75">
      <c r="A28" s="123">
        <v>104.8</v>
      </c>
      <c r="B28" s="124" t="s">
        <v>110</v>
      </c>
      <c r="C28" s="133" t="s">
        <v>125</v>
      </c>
      <c r="D28" s="126">
        <v>0.3999999999999986</v>
      </c>
      <c r="E28" s="163"/>
    </row>
    <row r="29" spans="1:5" ht="12.75">
      <c r="A29" s="123">
        <v>105.2</v>
      </c>
      <c r="B29" s="124" t="s">
        <v>107</v>
      </c>
      <c r="C29" s="136" t="s">
        <v>127</v>
      </c>
      <c r="D29" s="126">
        <v>2.9</v>
      </c>
      <c r="E29" s="163"/>
    </row>
    <row r="30" spans="1:5" ht="12.75">
      <c r="A30" s="123">
        <v>108.1</v>
      </c>
      <c r="B30" s="124" t="s">
        <v>107</v>
      </c>
      <c r="C30" s="131" t="s">
        <v>129</v>
      </c>
      <c r="D30" s="126">
        <v>29.6</v>
      </c>
      <c r="E30" s="163"/>
    </row>
    <row r="31" spans="1:5" ht="12.75">
      <c r="A31" s="123">
        <v>137.7</v>
      </c>
      <c r="B31" s="124" t="s">
        <v>112</v>
      </c>
      <c r="C31" s="137" t="s">
        <v>131</v>
      </c>
      <c r="D31" s="126">
        <v>0.29999999999999716</v>
      </c>
      <c r="E31" s="163"/>
    </row>
    <row r="32" spans="1:5" ht="12.75">
      <c r="A32" s="123">
        <v>138</v>
      </c>
      <c r="B32" s="140" t="s">
        <v>112</v>
      </c>
      <c r="C32" s="133" t="s">
        <v>132</v>
      </c>
      <c r="D32" s="126">
        <v>0.29999999999999716</v>
      </c>
      <c r="E32" s="163"/>
    </row>
    <row r="33" spans="1:5" ht="12.75">
      <c r="A33" s="123">
        <v>138.3</v>
      </c>
      <c r="B33" s="124" t="s">
        <v>110</v>
      </c>
      <c r="C33" s="131" t="s">
        <v>134</v>
      </c>
      <c r="D33" s="126">
        <v>0.5</v>
      </c>
      <c r="E33" s="163"/>
    </row>
    <row r="34" spans="1:5" ht="12.75">
      <c r="A34" s="123">
        <v>138.8</v>
      </c>
      <c r="B34" s="124" t="s">
        <v>107</v>
      </c>
      <c r="C34" s="137" t="s">
        <v>136</v>
      </c>
      <c r="D34" s="126">
        <v>1.2</v>
      </c>
      <c r="E34" s="163"/>
    </row>
    <row r="35" spans="1:5" ht="12.75">
      <c r="A35" s="123">
        <v>140</v>
      </c>
      <c r="B35" s="124" t="s">
        <v>110</v>
      </c>
      <c r="C35" s="131" t="s">
        <v>137</v>
      </c>
      <c r="D35" s="126">
        <v>0.20000000000000284</v>
      </c>
      <c r="E35" s="163"/>
    </row>
    <row r="36" spans="1:5" ht="12.75">
      <c r="A36" s="123">
        <v>140.2</v>
      </c>
      <c r="B36" s="124" t="s">
        <v>107</v>
      </c>
      <c r="C36" s="127" t="s">
        <v>138</v>
      </c>
      <c r="D36" s="126">
        <v>0.09999999999999432</v>
      </c>
      <c r="E36"/>
    </row>
    <row r="37" spans="1:5" ht="12.75">
      <c r="A37" s="123"/>
      <c r="B37" s="124"/>
      <c r="C37" s="136"/>
      <c r="D37" s="126"/>
      <c r="E37" s="163"/>
    </row>
    <row r="38" spans="1:5" ht="12.75">
      <c r="A38" s="138">
        <v>140.3</v>
      </c>
      <c r="B38" s="139" t="s">
        <v>110</v>
      </c>
      <c r="C38" s="139" t="s">
        <v>139</v>
      </c>
      <c r="D38" s="126"/>
      <c r="E38" s="163"/>
    </row>
    <row r="39" spans="1:5" ht="12.75">
      <c r="A39" s="138"/>
      <c r="B39" s="139"/>
      <c r="C39" s="139" t="s">
        <v>140</v>
      </c>
      <c r="D39" s="126"/>
      <c r="E39" s="163"/>
    </row>
    <row r="40" spans="1:5" ht="12.75">
      <c r="A40" s="141"/>
      <c r="B40" s="142"/>
      <c r="C40" s="145"/>
      <c r="D40" s="144"/>
      <c r="E40" s="163"/>
    </row>
    <row r="41" spans="1:5" ht="60.75">
      <c r="A41" s="119" t="s">
        <v>100</v>
      </c>
      <c r="B41" s="120" t="s">
        <v>101</v>
      </c>
      <c r="C41" s="121" t="s">
        <v>102</v>
      </c>
      <c r="D41" s="122" t="s">
        <v>103</v>
      </c>
      <c r="E41" s="163"/>
    </row>
    <row r="42" spans="1:5" ht="12.75">
      <c r="A42" s="123">
        <v>140.3</v>
      </c>
      <c r="B42" s="124" t="s">
        <v>110</v>
      </c>
      <c r="C42" s="131" t="s">
        <v>141</v>
      </c>
      <c r="D42" s="126">
        <v>0.3</v>
      </c>
      <c r="E42"/>
    </row>
    <row r="43" spans="1:5" ht="12.75">
      <c r="A43" s="123">
        <v>140.6</v>
      </c>
      <c r="B43" s="124" t="s">
        <v>110</v>
      </c>
      <c r="C43" s="131" t="s">
        <v>143</v>
      </c>
      <c r="D43" s="126">
        <v>0.7</v>
      </c>
      <c r="E43" s="163"/>
    </row>
    <row r="44" spans="1:5" ht="12.75">
      <c r="A44" s="123">
        <v>141.3</v>
      </c>
      <c r="B44" s="152" t="s">
        <v>112</v>
      </c>
      <c r="C44" s="136" t="s">
        <v>145</v>
      </c>
      <c r="D44" s="126">
        <v>63.1</v>
      </c>
      <c r="E44" s="163"/>
    </row>
    <row r="45" spans="1:5" ht="12.75">
      <c r="A45" s="123">
        <v>204.4</v>
      </c>
      <c r="B45" s="152" t="s">
        <v>110</v>
      </c>
      <c r="C45" s="136" t="s">
        <v>147</v>
      </c>
      <c r="D45" s="126">
        <v>0.10000000000000853</v>
      </c>
      <c r="E45" s="163"/>
    </row>
    <row r="46" spans="1:4" ht="12.75">
      <c r="A46" s="123"/>
      <c r="B46" s="140"/>
      <c r="C46" s="130"/>
      <c r="D46" s="126"/>
    </row>
    <row r="47" spans="1:5" ht="12.75">
      <c r="A47" s="138">
        <v>204.5</v>
      </c>
      <c r="B47" s="124"/>
      <c r="C47" s="132" t="s">
        <v>149</v>
      </c>
      <c r="D47" s="126"/>
      <c r="E47" s="163"/>
    </row>
    <row r="48" spans="1:5" ht="12.75">
      <c r="A48" s="123"/>
      <c r="B48" s="155"/>
      <c r="C48" s="132" t="s">
        <v>151</v>
      </c>
      <c r="D48" s="135"/>
      <c r="E48" s="164"/>
    </row>
    <row r="49" spans="1:5" ht="12.75">
      <c r="A49" s="123"/>
      <c r="B49" s="124"/>
      <c r="C49" s="133"/>
      <c r="D49" s="126"/>
      <c r="E49" s="163"/>
    </row>
    <row r="50" spans="1:5" ht="12.75">
      <c r="A50" s="123">
        <v>204.5</v>
      </c>
      <c r="B50" s="129" t="s">
        <v>107</v>
      </c>
      <c r="C50" s="133" t="s">
        <v>153</v>
      </c>
      <c r="D50" s="126">
        <v>0.1</v>
      </c>
      <c r="E50"/>
    </row>
    <row r="51" spans="1:5" ht="12.75">
      <c r="A51" s="123">
        <v>204.6</v>
      </c>
      <c r="B51" s="124" t="s">
        <v>110</v>
      </c>
      <c r="C51" s="153" t="s">
        <v>129</v>
      </c>
      <c r="D51" s="135">
        <v>65.3</v>
      </c>
      <c r="E51" s="163"/>
    </row>
    <row r="52" spans="1:5" ht="12.75">
      <c r="A52" s="123">
        <v>269.9</v>
      </c>
      <c r="B52" s="152" t="s">
        <v>107</v>
      </c>
      <c r="C52" s="153" t="s">
        <v>146</v>
      </c>
      <c r="D52" s="135">
        <v>0.29999999999999716</v>
      </c>
      <c r="E52" s="163"/>
    </row>
    <row r="53" spans="1:5" ht="12.75">
      <c r="A53" s="123"/>
      <c r="B53" s="124"/>
      <c r="C53" s="133"/>
      <c r="D53" s="126"/>
      <c r="E53" s="163"/>
    </row>
    <row r="54" spans="1:5" ht="12.75">
      <c r="A54" s="138">
        <v>270.2</v>
      </c>
      <c r="B54" s="139" t="s">
        <v>107</v>
      </c>
      <c r="C54" s="139" t="s">
        <v>157</v>
      </c>
      <c r="D54" s="126"/>
      <c r="E54" s="163"/>
    </row>
    <row r="55" spans="1:5" ht="12.75">
      <c r="A55" s="123"/>
      <c r="B55" s="124"/>
      <c r="C55" s="139" t="s">
        <v>150</v>
      </c>
      <c r="D55" s="126"/>
      <c r="E55" s="163"/>
    </row>
    <row r="56" spans="1:5" ht="12.75">
      <c r="A56" s="138"/>
      <c r="B56" s="132"/>
      <c r="C56" s="132"/>
      <c r="D56" s="126"/>
      <c r="E56" s="163"/>
    </row>
    <row r="57" spans="1:5" ht="12.75">
      <c r="A57" s="123"/>
      <c r="B57" s="124" t="s">
        <v>110</v>
      </c>
      <c r="C57" s="134" t="s">
        <v>152</v>
      </c>
      <c r="D57" s="126">
        <v>0.3</v>
      </c>
      <c r="E57" s="163"/>
    </row>
    <row r="58" spans="1:5" ht="12.75">
      <c r="A58" s="123">
        <v>270.5</v>
      </c>
      <c r="B58" s="124" t="s">
        <v>107</v>
      </c>
      <c r="C58" s="134" t="s">
        <v>129</v>
      </c>
      <c r="D58" s="126">
        <v>100.7</v>
      </c>
      <c r="E58" s="163"/>
    </row>
    <row r="59" spans="1:5" ht="12.75">
      <c r="A59" s="159">
        <v>371.2</v>
      </c>
      <c r="B59" s="124" t="s">
        <v>110</v>
      </c>
      <c r="C59" s="134" t="s">
        <v>159</v>
      </c>
      <c r="D59" s="126">
        <v>2.4000000000000057</v>
      </c>
      <c r="E59" s="163"/>
    </row>
    <row r="60" spans="1:5" ht="12.75">
      <c r="A60" s="159">
        <v>373.6</v>
      </c>
      <c r="B60" s="124" t="s">
        <v>112</v>
      </c>
      <c r="C60" s="134" t="s">
        <v>160</v>
      </c>
      <c r="D60" s="126">
        <v>0.29999999999999716</v>
      </c>
      <c r="E60"/>
    </row>
    <row r="61" spans="1:5" ht="12.75">
      <c r="A61" s="123"/>
      <c r="B61" s="124"/>
      <c r="C61" s="134"/>
      <c r="D61" s="126"/>
      <c r="E61" s="163"/>
    </row>
    <row r="62" spans="1:5" ht="12.75">
      <c r="A62" s="138">
        <v>373.9</v>
      </c>
      <c r="B62" s="139" t="s">
        <v>107</v>
      </c>
      <c r="C62" s="139" t="s">
        <v>162</v>
      </c>
      <c r="D62" s="126"/>
      <c r="E62"/>
    </row>
    <row r="63" spans="1:5" ht="12.75">
      <c r="A63" s="123"/>
      <c r="B63" s="124"/>
      <c r="C63" s="139" t="s">
        <v>163</v>
      </c>
      <c r="D63" s="126"/>
      <c r="E63" s="163"/>
    </row>
    <row r="64" spans="1:5" ht="12.75">
      <c r="A64" s="123"/>
      <c r="B64" s="124"/>
      <c r="C64" s="131"/>
      <c r="D64" s="126"/>
      <c r="E64" s="163"/>
    </row>
    <row r="65" spans="1:5" ht="12.75">
      <c r="A65" s="123">
        <v>373.9</v>
      </c>
      <c r="B65" s="149" t="s">
        <v>107</v>
      </c>
      <c r="C65" s="150" t="s">
        <v>142</v>
      </c>
      <c r="D65" s="126">
        <v>0.3</v>
      </c>
      <c r="E65" s="163"/>
    </row>
    <row r="66" spans="1:5" ht="12.75">
      <c r="A66" s="123">
        <v>374.2</v>
      </c>
      <c r="B66" s="149" t="s">
        <v>107</v>
      </c>
      <c r="C66" s="133" t="s">
        <v>144</v>
      </c>
      <c r="D66" s="126">
        <v>103.6</v>
      </c>
      <c r="E66" s="163"/>
    </row>
    <row r="67" spans="1:5" ht="12.75">
      <c r="A67" s="123">
        <v>477.8</v>
      </c>
      <c r="B67" s="149" t="s">
        <v>110</v>
      </c>
      <c r="C67" s="153" t="s">
        <v>146</v>
      </c>
      <c r="D67" s="126">
        <v>0.3</v>
      </c>
      <c r="E67" s="163"/>
    </row>
    <row r="68" spans="1:5" ht="12.75">
      <c r="A68" s="154"/>
      <c r="B68" s="149"/>
      <c r="C68" s="131"/>
      <c r="D68" s="126"/>
      <c r="E68" s="163"/>
    </row>
    <row r="69" spans="1:4" ht="12.75">
      <c r="A69" s="138">
        <v>478.1</v>
      </c>
      <c r="B69" s="139" t="s">
        <v>107</v>
      </c>
      <c r="C69" s="139" t="s">
        <v>148</v>
      </c>
      <c r="D69" s="126"/>
    </row>
    <row r="70" spans="1:5" ht="12.75">
      <c r="A70" s="138"/>
      <c r="B70" s="124"/>
      <c r="C70" s="139" t="s">
        <v>150</v>
      </c>
      <c r="D70" s="126"/>
      <c r="E70" s="163"/>
    </row>
    <row r="71" spans="1:5" ht="12.75">
      <c r="A71" s="123"/>
      <c r="B71" s="156"/>
      <c r="C71" s="153"/>
      <c r="D71" s="126"/>
      <c r="E71" s="164"/>
    </row>
    <row r="72" spans="1:5" ht="12.75">
      <c r="A72" s="123"/>
      <c r="B72" s="124" t="s">
        <v>110</v>
      </c>
      <c r="C72" s="134" t="s">
        <v>152</v>
      </c>
      <c r="D72" s="126">
        <v>0.3</v>
      </c>
      <c r="E72" s="163"/>
    </row>
    <row r="73" spans="1:5" ht="12.75">
      <c r="A73" s="123">
        <v>478.4</v>
      </c>
      <c r="B73" s="124" t="s">
        <v>110</v>
      </c>
      <c r="C73" s="134" t="s">
        <v>154</v>
      </c>
      <c r="D73" s="126">
        <v>65.3</v>
      </c>
      <c r="E73" s="163"/>
    </row>
    <row r="74" spans="1:5" ht="12.75">
      <c r="A74" s="123">
        <v>543.7</v>
      </c>
      <c r="B74" s="124" t="s">
        <v>107</v>
      </c>
      <c r="C74" s="134" t="s">
        <v>155</v>
      </c>
      <c r="D74" s="126">
        <v>0.1</v>
      </c>
      <c r="E74" s="163"/>
    </row>
    <row r="75" spans="1:5" ht="12.75">
      <c r="A75" s="123"/>
      <c r="B75" s="156"/>
      <c r="C75" s="158"/>
      <c r="D75" s="126"/>
      <c r="E75" s="163"/>
    </row>
    <row r="76" spans="1:5" ht="12.75">
      <c r="A76" s="138">
        <v>543.8</v>
      </c>
      <c r="B76" s="139" t="s">
        <v>110</v>
      </c>
      <c r="C76" s="132" t="s">
        <v>156</v>
      </c>
      <c r="D76" s="126"/>
      <c r="E76" s="163"/>
    </row>
    <row r="77" spans="1:5" ht="12.75">
      <c r="A77" s="123"/>
      <c r="B77" s="149"/>
      <c r="C77" s="132" t="s">
        <v>151</v>
      </c>
      <c r="D77" s="126"/>
      <c r="E77" s="163"/>
    </row>
    <row r="78" spans="1:5" ht="12.75">
      <c r="A78" s="123"/>
      <c r="B78" s="124"/>
      <c r="C78" s="133"/>
      <c r="D78" s="126"/>
      <c r="E78" s="163"/>
    </row>
    <row r="79" spans="1:5" ht="12.75">
      <c r="A79" s="123"/>
      <c r="B79" s="129" t="s">
        <v>107</v>
      </c>
      <c r="C79" s="133" t="s">
        <v>153</v>
      </c>
      <c r="D79" s="126">
        <v>0.1</v>
      </c>
      <c r="E79" s="163"/>
    </row>
    <row r="80" spans="1:5" ht="12.75">
      <c r="A80" s="123">
        <v>543.9</v>
      </c>
      <c r="B80" s="124" t="s">
        <v>107</v>
      </c>
      <c r="C80" s="153" t="s">
        <v>154</v>
      </c>
      <c r="D80" s="126">
        <v>63.8</v>
      </c>
      <c r="E80" s="163"/>
    </row>
    <row r="81" spans="1:5" ht="12.75">
      <c r="A81" s="123">
        <v>607.7</v>
      </c>
      <c r="B81" s="149" t="s">
        <v>107</v>
      </c>
      <c r="C81" s="131" t="s">
        <v>158</v>
      </c>
      <c r="D81" s="126">
        <v>0.5</v>
      </c>
      <c r="E81" s="163"/>
    </row>
    <row r="82" spans="1:5" ht="12.75">
      <c r="A82" s="123"/>
      <c r="B82" s="156"/>
      <c r="C82" s="153"/>
      <c r="D82" s="126"/>
      <c r="E82"/>
    </row>
    <row r="83" spans="1:5" ht="12.75">
      <c r="A83" s="138">
        <v>608.2</v>
      </c>
      <c r="B83" s="139" t="s">
        <v>107</v>
      </c>
      <c r="C83" s="125" t="s">
        <v>161</v>
      </c>
      <c r="D83" s="126"/>
      <c r="E83" s="163"/>
    </row>
    <row r="84" spans="1:5" ht="12.75">
      <c r="A84" s="123"/>
      <c r="B84" s="149"/>
      <c r="C84" s="130" t="s">
        <v>106</v>
      </c>
      <c r="D84" s="126"/>
      <c r="E84" s="163"/>
    </row>
    <row r="85" spans="1:5" ht="12.75">
      <c r="A85" s="138"/>
      <c r="B85" s="149"/>
      <c r="C85" s="131"/>
      <c r="D85" s="126"/>
      <c r="E85"/>
    </row>
    <row r="86" spans="1:5" ht="12.75">
      <c r="A86" s="141"/>
      <c r="B86" s="160"/>
      <c r="C86" s="161" t="s">
        <v>164</v>
      </c>
      <c r="D86" s="162"/>
      <c r="E86" s="163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85546875" style="0" customWidth="1"/>
  </cols>
  <sheetData>
    <row r="1" spans="1:4" ht="15">
      <c r="A1" s="165" t="str">
        <f>Brevet_Number</f>
        <v>VI0608A</v>
      </c>
      <c r="B1" s="165"/>
      <c r="C1" s="165"/>
      <c r="D1" s="165"/>
    </row>
    <row r="2" spans="1:4" ht="15">
      <c r="A2" s="166" t="s">
        <v>165</v>
      </c>
      <c r="B2" s="166"/>
      <c r="C2" s="167"/>
      <c r="D2" s="168" t="s">
        <v>166</v>
      </c>
    </row>
    <row r="3" spans="1:5" ht="12.75">
      <c r="A3" s="169" t="e">
        <f>#REF!</f>
        <v>#REF!</v>
      </c>
      <c r="B3" s="170" t="e">
        <f>#REF!</f>
        <v>#REF!</v>
      </c>
      <c r="C3" s="171"/>
      <c r="D3" s="172" t="e">
        <f>#REF!</f>
        <v>#REF!</v>
      </c>
      <c r="E3" s="5" t="e">
        <f>#REF!</f>
        <v>#REF!</v>
      </c>
    </row>
    <row r="7" ht="12.75">
      <c r="A7" t="s">
        <v>167</v>
      </c>
    </row>
    <row r="8" ht="12.75">
      <c r="A8" t="s">
        <v>168</v>
      </c>
    </row>
    <row r="9" ht="12.75">
      <c r="A9" t="s">
        <v>169</v>
      </c>
    </row>
    <row r="10" ht="12.75">
      <c r="A10" t="s">
        <v>170</v>
      </c>
    </row>
    <row r="11" ht="12.75">
      <c r="A11" t="s">
        <v>171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15th  March, 1998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2008-05-04T23:56:30Z</cp:lastPrinted>
  <dcterms:created xsi:type="dcterms:W3CDTF">1997-11-12T04:43:39Z</dcterms:created>
  <dcterms:modified xsi:type="dcterms:W3CDTF">2008-05-05T00:00:59Z</dcterms:modified>
  <cp:category/>
  <cp:version/>
  <cp:contentType/>
  <cp:contentStatus/>
</cp:coreProperties>
</file>