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200A 060308" sheetId="4" r:id="rId4"/>
    <sheet name="Web sheet" sheetId="5" r:id="rId5"/>
    <sheet name="Web results" sheetId="6" r:id="rId6"/>
    <sheet name="Signon" sheetId="7" r:id="rId7"/>
  </sheets>
  <definedNames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<sst xmlns="http://schemas.openxmlformats.org/spreadsheetml/2006/main" count="428" uniqueCount="187">
  <si>
    <t>Brevet Length:</t>
  </si>
  <si>
    <t>Maximum Time:</t>
  </si>
  <si>
    <t>Brevet Description:</t>
  </si>
  <si>
    <t>Tour of the Cowichan Valley  --  Chemainus--Shawnigan Lake--Glenora--Youbou--Chemainus</t>
  </si>
  <si>
    <t>Brevet Number:</t>
  </si>
  <si>
    <t>VI0200A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</si>
  <si>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</si>
  <si>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</si>
  <si>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</si>
  <si>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</si>
  <si>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</si>
  <si>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</si>
  <si>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</si>
  <si>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</si>
  <si>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</si>
  <si>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</si>
  <si>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</si>
  <si>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</si>
  <si>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</si>
  <si>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CHEMAINUS</t>
  </si>
  <si>
    <t>Dancing Bean Café</t>
  </si>
  <si>
    <t xml:space="preserve">9752 Willow </t>
  </si>
  <si>
    <t>Control 2</t>
  </si>
  <si>
    <t>SHAWNIGAN VILLAGE</t>
  </si>
  <si>
    <t>Your choice</t>
  </si>
  <si>
    <t>Control 3</t>
  </si>
  <si>
    <t>GLENORA</t>
  </si>
  <si>
    <t>Control 4</t>
  </si>
  <si>
    <t>YOUBOU</t>
  </si>
  <si>
    <t>Daly's Service Station</t>
  </si>
  <si>
    <t>or Coon Ck. Café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</si>
  <si>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</si>
  <si>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</si>
  <si>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</si>
  <si>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</si>
  <si>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</si>
  <si>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</si>
  <si>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</si>
  <si>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</si>
  <si>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</si>
  <si>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</si>
  <si>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</si>
  <si>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</si>
  <si>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</si>
  <si>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</si>
  <si>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</si>
  <si>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</si>
  <si>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</si>
  <si>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</si>
  <si>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</si>
  <si>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</si>
  <si>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</si>
  <si>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</si>
  <si>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</si>
  <si>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</si>
  <si>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</si>
  <si>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</si>
  <si>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</si>
  <si>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</si>
  <si>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</si>
  <si>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</si>
  <si>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</si>
  <si>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</si>
  <si>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</si>
  <si>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</si>
  <si>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</si>
  <si>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</si>
  <si>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</si>
  <si>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</si>
  <si>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</si>
  <si>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</si>
  <si>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</si>
  <si>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</si>
  <si>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</si>
  <si>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</si>
  <si>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</si>
  <si>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</si>
  <si>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</si>
  <si>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</si>
  <si>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</si>
  <si>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</si>
  <si>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</si>
  <si>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</si>
  <si>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</si>
  <si>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</si>
  <si>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</si>
  <si>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</si>
  <si>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At  km</t>
  </si>
  <si>
    <t>Turn</t>
  </si>
  <si>
    <t>onto  ROUTE</t>
  </si>
  <si>
    <t xml:space="preserve"> then   Go km</t>
  </si>
  <si>
    <t>START--Dancing Bean Café</t>
  </si>
  <si>
    <t>CONTROL #1--Your choice</t>
  </si>
  <si>
    <t>9752 Willow, Chemainus</t>
  </si>
  <si>
    <t>Shawnigan Village</t>
  </si>
  <si>
    <t>R</t>
  </si>
  <si>
    <t>WILLOW (head south)</t>
  </si>
  <si>
    <t>VICTORIA St. (at T)</t>
  </si>
  <si>
    <t>SO</t>
  </si>
  <si>
    <t>SHAWNIGAN LAKE(continue south)</t>
  </si>
  <si>
    <t>L</t>
  </si>
  <si>
    <t>CHEMAINUS (at T)</t>
  </si>
  <si>
    <t>SHAWNIGAN LAKE (not up hill!))</t>
  </si>
  <si>
    <t>cross roundabout</t>
  </si>
  <si>
    <t>SHAWNIGAN LAKE (at stop sign)</t>
  </si>
  <si>
    <t>CROFTON (at store)</t>
  </si>
  <si>
    <t>W. SHAWNIGAN (no hill)</t>
  </si>
  <si>
    <t>CHAPLIN (after Welcome sign)</t>
  </si>
  <si>
    <t>RENFREW (at stop sign)</t>
  </si>
  <si>
    <t>YORK (at Brass Bell)</t>
  </si>
  <si>
    <t>SHAWNIGAN LAKE (after RR X)</t>
  </si>
  <si>
    <t>OSBORNE BAY (at Adelaide St.)</t>
  </si>
  <si>
    <t>Cross Highway #1</t>
  </si>
  <si>
    <t>HERD (at stop sign)</t>
  </si>
  <si>
    <t>COWICHAN BAY</t>
  </si>
  <si>
    <t>MAPLE BAY (at stop sign)</t>
  </si>
  <si>
    <t>TELEGRAPH (before school)</t>
  </si>
  <si>
    <t>TZOUHALEM (at St. Edwards)</t>
  </si>
  <si>
    <t>KOKSILAH (at T)</t>
  </si>
  <si>
    <t>COWICHAN BAY (at Tennis courts)</t>
  </si>
  <si>
    <t>CHERRY POINT (at 4-Ways)</t>
  </si>
  <si>
    <t xml:space="preserve">KOKSILAH  </t>
  </si>
  <si>
    <t>CHERRY POINT (at obvious bend)</t>
  </si>
  <si>
    <t>MILLER (1st left after dump)</t>
  </si>
  <si>
    <t>TELEGRAPH (at T)</t>
  </si>
  <si>
    <t>GLENORA (first left)</t>
  </si>
  <si>
    <t>KILMALU (at T)</t>
  </si>
  <si>
    <t>INDIAN (at 4 way stop)</t>
  </si>
  <si>
    <t>HIGHWAY #1 (at lights)</t>
  </si>
  <si>
    <t>SHAWNIGAN-MILL BAY(next lights)</t>
  </si>
  <si>
    <t>CONTROL #2--Your choice</t>
  </si>
  <si>
    <t>SHAWNIGAN LAKE (at 4 way stop)</t>
  </si>
  <si>
    <t xml:space="preserve">Glenora  </t>
  </si>
  <si>
    <t>INDIAN (continue north)</t>
  </si>
  <si>
    <t>U</t>
  </si>
  <si>
    <t>Turn back towards Duncan</t>
  </si>
  <si>
    <t>Cross Cowichan River</t>
  </si>
  <si>
    <t>ALLENBY</t>
  </si>
  <si>
    <t>COWICHANVALLEY HWY #18(stop)</t>
  </si>
  <si>
    <t>GOVERNMENT (at lights)</t>
  </si>
  <si>
    <t>GIBBINS (after Esso)</t>
  </si>
  <si>
    <t>Mt. SICKER (at lights at Tempo)</t>
  </si>
  <si>
    <t>MENZIES (after Vimy on left)</t>
  </si>
  <si>
    <t>OLD LAKE COWICHAN (at T)</t>
  </si>
  <si>
    <t>VICTORIA (at Theatre)</t>
  </si>
  <si>
    <t>Cross Skutz Falls Rd.</t>
  </si>
  <si>
    <t>WILLOW (first left)</t>
  </si>
  <si>
    <t>OLD LAKE COWICHAN</t>
  </si>
  <si>
    <t>GREENDALE (first left)</t>
  </si>
  <si>
    <t>FINISH--Dancing Bean</t>
  </si>
  <si>
    <t>SOUTH SHORE (at stop)</t>
  </si>
  <si>
    <t xml:space="preserve">Chemainus  </t>
  </si>
  <si>
    <t>NORTH SHORE (at Riverside Inn)</t>
  </si>
  <si>
    <t>MEADES CREEK (at top of hill)</t>
  </si>
  <si>
    <t>YOUBOU (at T)</t>
  </si>
  <si>
    <t>CONTROL #3 -- Daly's Gas</t>
  </si>
  <si>
    <t>Youbou</t>
  </si>
  <si>
    <t>!!! CONGRATULATIONS !!!</t>
  </si>
  <si>
    <t>START--Museum</t>
  </si>
  <si>
    <t>Go to 50 km point</t>
  </si>
  <si>
    <t>Chemainus</t>
  </si>
  <si>
    <t>Go to100 km point</t>
  </si>
  <si>
    <t>Go to 150 km point</t>
  </si>
  <si>
    <t>Go to Control #1</t>
  </si>
  <si>
    <t>Go to Control #2</t>
  </si>
  <si>
    <t>Go to Control #3</t>
  </si>
  <si>
    <t>YORK (after Brass Bell)</t>
  </si>
  <si>
    <t>Go to Finish</t>
  </si>
  <si>
    <t>Return to start</t>
  </si>
  <si>
    <t>SOUTH SHORE (first left)</t>
  </si>
  <si>
    <t>COWICHAN VALLEY HWY (at T)</t>
  </si>
  <si>
    <t>COWICHAN VALLEY HIGHWAY</t>
  </si>
  <si>
    <t>COWICHAN VALLEY HWY(stop)</t>
  </si>
  <si>
    <t>TANSOR (at flashing light)</t>
  </si>
  <si>
    <t>OLD LAKE COWICHAN (at store)</t>
  </si>
  <si>
    <t>SOMENOS (at 4 way stop)</t>
  </si>
  <si>
    <t>Cross Highway #18</t>
  </si>
  <si>
    <t xml:space="preserve">SOMENOS  </t>
  </si>
  <si>
    <t>HIGHWAY #1</t>
  </si>
  <si>
    <t>Mt. SICKER (at Red Rooster)</t>
  </si>
  <si>
    <t>FINISH--Your choice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</si>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</sst>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DD/MMM/YY\ HH:MM\ AM/PM"/>
    <numFmt numFmtId="170" formatCode="0.0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7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0" borderId="11" xfId="0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center" vertical="center" wrapText="1"/>
    </xf>
    <xf numFmtId="164" fontId="0" fillId="0" borderId="13" xfId="0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70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/>
    </xf>
    <xf numFmtId="164" fontId="4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70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3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70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0" fillId="0" borderId="3" xfId="0" applyBorder="1" applyAlignment="1">
      <alignment/>
    </xf>
    <xf numFmtId="164" fontId="0" fillId="0" borderId="3" xfId="0" applyBorder="1" applyAlignment="1" applyProtection="1">
      <alignment/>
      <protection locked="0"/>
    </xf>
    <xf numFmtId="174" fontId="0" fillId="0" borderId="3" xfId="0" applyNumberFormat="1" applyBorder="1" applyAlignment="1" applyProtection="1">
      <alignment/>
      <protection locked="0"/>
    </xf>
    <xf numFmtId="174" fontId="0" fillId="0" borderId="3" xfId="0" applyNumberFormat="1" applyBorder="1" applyAlignment="1">
      <alignment/>
    </xf>
    <xf numFmtId="170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70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70" fontId="0" fillId="3" borderId="25" xfId="0" applyNumberFormat="1" applyFont="1" applyFill="1" applyBorder="1" applyAlignment="1">
      <alignment horizontal="center" textRotation="90" wrapText="1"/>
    </xf>
    <xf numFmtId="170" fontId="0" fillId="0" borderId="26" xfId="0" applyNumberFormat="1" applyBorder="1" applyAlignment="1">
      <alignment horizontal="right"/>
    </xf>
    <xf numFmtId="166" fontId="0" fillId="0" borderId="27" xfId="0" applyNumberForma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170" fontId="0" fillId="0" borderId="28" xfId="0" applyNumberFormat="1" applyBorder="1" applyAlignment="1">
      <alignment horizontal="right"/>
    </xf>
    <xf numFmtId="170" fontId="13" fillId="0" borderId="26" xfId="0" applyNumberFormat="1" applyFont="1" applyBorder="1" applyAlignment="1">
      <alignment horizontal="right"/>
    </xf>
    <xf numFmtId="166" fontId="0" fillId="0" borderId="29" xfId="0" applyNumberFormat="1" applyBorder="1" applyAlignment="1">
      <alignment horizontal="center"/>
    </xf>
    <xf numFmtId="166" fontId="13" fillId="0" borderId="29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164" fontId="0" fillId="0" borderId="29" xfId="0" applyFont="1" applyBorder="1" applyAlignment="1">
      <alignment horizontal="center"/>
    </xf>
    <xf numFmtId="164" fontId="0" fillId="0" borderId="29" xfId="0" applyFont="1" applyBorder="1" applyAlignment="1">
      <alignment/>
    </xf>
    <xf numFmtId="170" fontId="13" fillId="0" borderId="28" xfId="0" applyNumberFormat="1" applyFont="1" applyBorder="1" applyAlignment="1">
      <alignment horizontal="right"/>
    </xf>
    <xf numFmtId="170" fontId="0" fillId="0" borderId="30" xfId="0" applyNumberFormat="1" applyBorder="1" applyAlignment="1">
      <alignment horizontal="right"/>
    </xf>
    <xf numFmtId="166" fontId="0" fillId="0" borderId="31" xfId="0" applyNumberFormat="1" applyBorder="1" applyAlignment="1">
      <alignment horizontal="center"/>
    </xf>
    <xf numFmtId="166" fontId="13" fillId="0" borderId="31" xfId="0" applyNumberFormat="1" applyFont="1" applyBorder="1" applyAlignment="1">
      <alignment horizontal="center"/>
    </xf>
    <xf numFmtId="170" fontId="0" fillId="0" borderId="7" xfId="0" applyNumberFormat="1" applyBorder="1" applyAlignment="1">
      <alignment horizontal="right"/>
    </xf>
    <xf numFmtId="166" fontId="0" fillId="0" borderId="32" xfId="0" applyNumberFormat="1" applyBorder="1" applyAlignment="1">
      <alignment horizontal="center"/>
    </xf>
    <xf numFmtId="166" fontId="0" fillId="0" borderId="32" xfId="0" applyNumberFormat="1" applyBorder="1" applyAlignment="1">
      <alignment horizontal="left"/>
    </xf>
    <xf numFmtId="170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3" xfId="0" applyBorder="1" applyAlignment="1">
      <alignment/>
    </xf>
    <xf numFmtId="166" fontId="14" fillId="0" borderId="29" xfId="0" applyNumberFormat="1" applyFont="1" applyBorder="1" applyAlignment="1">
      <alignment horizontal="center"/>
    </xf>
    <xf numFmtId="164" fontId="0" fillId="0" borderId="34" xfId="0" applyFont="1" applyBorder="1" applyAlignment="1">
      <alignment/>
    </xf>
    <xf numFmtId="170" fontId="0" fillId="0" borderId="35" xfId="0" applyNumberFormat="1" applyBorder="1" applyAlignment="1">
      <alignment/>
    </xf>
    <xf numFmtId="164" fontId="0" fillId="0" borderId="16" xfId="0" applyBorder="1" applyAlignment="1">
      <alignment/>
    </xf>
    <xf numFmtId="170" fontId="13" fillId="0" borderId="35" xfId="0" applyNumberFormat="1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5" fillId="3" borderId="36" xfId="0" applyFont="1" applyFill="1" applyBorder="1" applyAlignment="1">
      <alignment horizontal="center"/>
    </xf>
    <xf numFmtId="164" fontId="15" fillId="3" borderId="23" xfId="0" applyFont="1" applyFill="1" applyBorder="1" applyAlignment="1">
      <alignment/>
    </xf>
    <xf numFmtId="164" fontId="15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/>
      <protection locked="0"/>
    </xf>
    <xf numFmtId="164" fontId="0" fillId="0" borderId="37" xfId="0" applyFont="1" applyBorder="1" applyAlignment="1" applyProtection="1">
      <alignment/>
      <protection locked="0"/>
    </xf>
    <xf numFmtId="174" fontId="0" fillId="0" borderId="37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16</xdr:col>
      <xdr:colOff>152400</xdr:colOff>
      <xdr:row>4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0"/>
          <a:ext cx="4457700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12" sqref="D12"/>
    </sheetView>
  </sheetViews>
  <sheetFormatPr defaultColWidth="9.140625" defaultRowHeight="12.75"/>
  <cols>
    <col min="1" max="1" width="16.57421875" style="1" customWidth="1"/>
    <col min="2" max="2" width="9.2812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IF(Brevet_Length&gt;=1200,Brevet_Length,IF(Brevet_Length&gt;=1000,1000,IF(Brevet_Length&gt;=600,600,IF(Brevet_Length&gt;=400,400,IF(Brevet_Length&gt;=200,200,100)))))</f>
        <v>200</v>
      </c>
    </row>
    <row r="2" spans="1:2" ht="12.75">
      <c r="A2" s="6" t="s">
        <v>1</v>
      </c>
      <c r="B2" s="7">
        <f>IF(brevet=1200,90,IF(brevet&gt;=1000,75,IF(brevet&gt;=600,40,IF(brevet&gt;=400,27,IF(brevet&gt;=300,20,IF(brevet&gt;=200,13.5,IF(brevet&gt;=100,7,0)))))))</f>
        <v>13.5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0.2916666666666667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3" t="s">
        <v>21</v>
      </c>
      <c r="H10" s="23"/>
      <c r="I10" s="24">
        <f>Start_date+Start_time</f>
        <v>0.2916666666666667</v>
      </c>
      <c r="J10" s="24">
        <f>I10+"1:00"</f>
        <v>0.33333333333333337</v>
      </c>
      <c r="K10" s="25">
        <f>IF(ISBLANK(Distance),"",Open Control_1)</f>
        <v>0.2916666666666667</v>
      </c>
      <c r="L10" s="25">
        <f>IF(ISBLANK(Distance),"",Close Control_1)</f>
        <v>0.33333333333333337</v>
      </c>
    </row>
    <row r="11" spans="3:12" ht="12.75">
      <c r="C11" s="2" t="s">
        <v>22</v>
      </c>
      <c r="D11" s="20">
        <f>'VI0200A 060308'!F2</f>
        <v>52.3</v>
      </c>
      <c r="E11" s="21" t="s">
        <v>23</v>
      </c>
      <c r="F11" s="22"/>
      <c r="G11" s="22" t="s">
        <v>24</v>
      </c>
      <c r="H11" s="23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1.538235294117647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3.4866666666666664</v>
      </c>
      <c r="K11" s="25">
        <f>IF(ISBLANK(Distance),"",Open_time Control_1+(INT(Open)&amp;":"&amp;IF(ROUND(((Open-INT(Open))*60),0)&lt;10,0,"")&amp;ROUND(((Open-INT(Open))*60),0)))</f>
        <v>0.35555555555555557</v>
      </c>
      <c r="L11" s="25">
        <f>IF(ISBLANK(Distance),"",Open_time Control_1+(INT(Close)&amp;":"&amp;IF(ROUND(((Close-INT(Close))*60),0)&lt;10,0,"")&amp;ROUND(((Close-INT(Close))*60),0)))</f>
        <v>0.43680555555555556</v>
      </c>
    </row>
    <row r="12" spans="3:12" ht="12.75">
      <c r="C12" s="2" t="s">
        <v>25</v>
      </c>
      <c r="D12" s="20">
        <f>'VI0200A 060308'!F21</f>
        <v>97.10000000000002</v>
      </c>
      <c r="E12" s="21" t="s">
        <v>26</v>
      </c>
      <c r="F12" s="22"/>
      <c r="G12" s="22" t="s">
        <v>24</v>
      </c>
      <c r="H12" s="23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2.855882352941177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6.4733333333333345</v>
      </c>
      <c r="K12" s="25">
        <f>IF(ISBLANK(Distance),"",Open_time Control_1+(INT(Open)&amp;":"&amp;IF(ROUND(((Open-INT(Open))*60),0)&lt;10,0,"")&amp;ROUND(((Open-INT(Open))*60),0)))</f>
        <v>0.41041666666666665</v>
      </c>
      <c r="L12" s="25">
        <f>IF(ISBLANK(Distance),"",Open_time Control_1+(INT(Close)&amp;":"&amp;IF(ROUND(((Close-INT(Close))*60),0)&lt;10,0,"")&amp;ROUND(((Close-INT(Close))*60),0)))</f>
        <v>0.5611111111111111</v>
      </c>
    </row>
    <row r="13" spans="3:12" ht="12.75">
      <c r="C13" s="2" t="s">
        <v>27</v>
      </c>
      <c r="D13" s="20">
        <f>'VI0200A 060308'!A41</f>
        <v>146.3</v>
      </c>
      <c r="E13" s="21" t="s">
        <v>28</v>
      </c>
      <c r="F13" s="22" t="s">
        <v>29</v>
      </c>
      <c r="G13" s="23" t="s">
        <v>30</v>
      </c>
      <c r="H13" s="23"/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4.302941176470589</v>
      </c>
      <c r="J13" s="5">
        <f t="shared" si="0"/>
        <v>9.753333333333334</v>
      </c>
      <c r="K13" s="25">
        <f>IF(ISBLANK(Distance),"",Open_time Control_1+(INT(Open)&amp;":"&amp;IF(ROUND(((Open-INT(Open))*60),0)&lt;10,0,"")&amp;ROUND(((Open-INT(Open))*60),0)))</f>
        <v>0.4708333333333333</v>
      </c>
      <c r="L13" s="25">
        <f>IF(ISBLANK(Distance),"",Open_time Control_1+(INT(Close)&amp;":"&amp;IF(ROUND(((Close-INT(Close))*60),0)&lt;10,0,"")&amp;ROUND(((Close-INT(Close))*60),0)))</f>
        <v>0.6979166666666667</v>
      </c>
    </row>
    <row r="14" spans="3:12" ht="12.75">
      <c r="C14" s="2" t="s">
        <v>31</v>
      </c>
      <c r="D14" s="20">
        <f>'VI0200A 060308'!F35</f>
        <v>200.6</v>
      </c>
      <c r="E14" s="21" t="s">
        <v>19</v>
      </c>
      <c r="F14" s="22" t="s">
        <v>20</v>
      </c>
      <c r="G14" s="23" t="s">
        <v>21</v>
      </c>
      <c r="H14" s="23"/>
      <c r="I14" s="5">
        <f t="shared" si="1"/>
        <v>5.9011499999999995</v>
      </c>
      <c r="J14" s="5">
        <f t="shared" si="0"/>
        <v>13.5</v>
      </c>
      <c r="K14" s="25">
        <f>IF(ISBLANK(Distance),"",Open_time Control_1+(INT(Open)&amp;":"&amp;IF(ROUND(((Open-INT(Open))*60),0)&lt;10,0,"")&amp;ROUND(((Open-INT(Open))*60),0)))</f>
        <v>0.5375</v>
      </c>
      <c r="L14" s="25">
        <f>IF(ISBLANK(Distance),"",Open_time Control_1+(INT(Close)&amp;":"&amp;IF(ROUND(((Close-INT(Close))*60),0)&lt;10,0,"")&amp;ROUND(((Close-INT(Close))*60),0)))</f>
        <v>0.8541666666666667</v>
      </c>
    </row>
    <row r="15" spans="3:12" ht="12.75">
      <c r="C15" s="2" t="s">
        <v>32</v>
      </c>
      <c r="D15" s="20"/>
      <c r="E15" s="21"/>
      <c r="F15" s="22"/>
      <c r="G15" s="22"/>
      <c r="H15" s="23"/>
      <c r="I15">
        <f t="shared" si="1"/>
      </c>
      <c r="J15">
        <f t="shared" si="0"/>
      </c>
      <c r="K15" s="25">
        <f>IF(ISBLANK(Distance),"",Open_time Control_1+(INT(Open)&amp;":"&amp;IF(ROUND(((Open-INT(Open))*60),0)&lt;10,0,"")&amp;ROUND(((Open-INT(Open))*60),0)))</f>
      </c>
      <c r="L15" s="25">
        <f>IF(ISBLANK(Distance),"",Open_time Control_1+(INT(Close)&amp;":"&amp;IF(ROUND(((Close-INT(Close))*60),0)&lt;10,0,"")&amp;ROUND(((Close-INT(Close))*60),0)))</f>
      </c>
    </row>
    <row r="16" spans="3:12" ht="12.75">
      <c r="C16" s="2" t="s">
        <v>33</v>
      </c>
      <c r="D16" s="20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34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35</v>
      </c>
      <c r="D18" s="20"/>
      <c r="E18" s="21" t="s">
        <v>36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37</v>
      </c>
      <c r="D19" s="20"/>
      <c r="E19" s="21" t="s">
        <v>36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38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39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40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41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42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43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44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45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46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47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F1" sqref="F1"/>
    </sheetView>
  </sheetViews>
  <sheetFormatPr defaultColWidth="9.140625" defaultRowHeight="12.75"/>
  <cols>
    <col min="1" max="1" width="9.28125" style="0" customWidth="1"/>
    <col min="2" max="3" width="12.421875" style="0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</cols>
  <sheetData>
    <row r="1" spans="1:8" ht="19.5">
      <c r="A1" s="30" t="s">
        <v>48</v>
      </c>
      <c r="B1" s="30"/>
      <c r="C1" s="30"/>
      <c r="D1" s="30"/>
      <c r="E1" s="30"/>
      <c r="F1" s="30"/>
      <c r="G1" s="30"/>
      <c r="H1" s="11" t="s">
        <v>49</v>
      </c>
    </row>
    <row r="2" spans="1:14" ht="33.75">
      <c r="A2" s="31" t="s">
        <v>50</v>
      </c>
      <c r="B2" s="32" t="s">
        <v>14</v>
      </c>
      <c r="C2" s="32" t="s">
        <v>15</v>
      </c>
      <c r="D2" s="32" t="s">
        <v>10</v>
      </c>
      <c r="E2" s="32" t="s">
        <v>51</v>
      </c>
      <c r="F2" s="32" t="s">
        <v>52</v>
      </c>
      <c r="G2" s="31" t="s">
        <v>53</v>
      </c>
      <c r="H2" s="11" t="s">
        <v>49</v>
      </c>
      <c r="N2" s="33"/>
    </row>
    <row r="3" spans="1:14" ht="36" customHeight="1">
      <c r="A3" s="34"/>
      <c r="B3" s="35">
        <f>Control_1 Open_time</f>
        <v>0.2916666666666667</v>
      </c>
      <c r="C3" s="35">
        <f>Control_1 Close_time</f>
        <v>0.33333333333333337</v>
      </c>
      <c r="D3" s="36"/>
      <c r="E3" s="37">
        <f>IF(ISBLANK(Control_1 Establishment_1),"",Control_1 Establishment_1)</f>
        <v>0</v>
      </c>
      <c r="F3" s="38"/>
      <c r="G3" s="39"/>
      <c r="H3" s="11" t="s">
        <v>49</v>
      </c>
      <c r="K3" s="40"/>
      <c r="N3" s="33"/>
    </row>
    <row r="4" spans="1:14" ht="36" customHeight="1">
      <c r="A4" s="41">
        <f>IF(ISBLANK(Distance Control_1),"",Control_1 Distance)</f>
        <v>0</v>
      </c>
      <c r="B4" s="42">
        <f>Control_1 Open_time</f>
        <v>0.2916666666666667</v>
      </c>
      <c r="C4" s="42">
        <f>Control_1 Close_time</f>
        <v>0.33333333333333337</v>
      </c>
      <c r="D4" s="43">
        <f>IF(ISBLANK(Locale Control_1),"",Locale Control_1)</f>
        <v>0</v>
      </c>
      <c r="E4" s="37">
        <f>IF(ISBLANK(Control_1 Establishment_2),"",Control_1 Establishment_2)</f>
        <v>0</v>
      </c>
      <c r="F4" s="38"/>
      <c r="G4" s="39"/>
      <c r="H4" s="11" t="s">
        <v>49</v>
      </c>
      <c r="K4" s="40"/>
      <c r="N4" s="33"/>
    </row>
    <row r="5" spans="1:11" ht="36" customHeight="1">
      <c r="A5" s="44"/>
      <c r="B5" s="45">
        <f>Control_1 Open_time</f>
        <v>0.2916666666666667</v>
      </c>
      <c r="C5" s="45">
        <f>Control_1 Close_time</f>
        <v>0.33333333333333337</v>
      </c>
      <c r="D5" s="46"/>
      <c r="E5" s="47">
        <f>IF(ISBLANK(Control_1 Establishment_3),"",Control_1 Establishment_3)</f>
        <v>0</v>
      </c>
      <c r="F5" s="48"/>
      <c r="G5" s="49"/>
      <c r="H5" s="11" t="s">
        <v>49</v>
      </c>
      <c r="K5" s="40"/>
    </row>
    <row r="6" spans="1:11" ht="36" customHeight="1">
      <c r="A6" s="34"/>
      <c r="B6" s="35">
        <f>Control_2 Open_time</f>
        <v>0.35555555555555557</v>
      </c>
      <c r="C6" s="35">
        <f>Control_2 Close_time</f>
        <v>0.43680555555555556</v>
      </c>
      <c r="D6" s="50"/>
      <c r="E6" s="37">
        <f>IF(ISBLANK(Control_2 Establishment_1),"",Control_2 Establishment_1)</f>
        <v>0</v>
      </c>
      <c r="F6" s="38"/>
      <c r="G6" s="39"/>
      <c r="H6" s="11" t="s">
        <v>49</v>
      </c>
      <c r="K6" s="40"/>
    </row>
    <row r="7" spans="1:11" ht="36" customHeight="1">
      <c r="A7" s="41">
        <f>IF(ISBLANK(Distance Control_2),"",Control_2 Distance)</f>
        <v>52.3</v>
      </c>
      <c r="B7" s="42">
        <f>Control_2 Open_time</f>
        <v>0.35555555555555557</v>
      </c>
      <c r="C7" s="42">
        <f>Control_2 Close_time</f>
        <v>0.43680555555555556</v>
      </c>
      <c r="D7" s="43">
        <f>IF(ISBLANK(Locale Control_2),"",Locale Control_2)</f>
        <v>0</v>
      </c>
      <c r="E7" s="37">
        <f>IF(ISBLANK(Control_2 Establishment_2),"",Control_2 Establishment_2)</f>
        <v>0</v>
      </c>
      <c r="F7" s="38"/>
      <c r="G7" s="39"/>
      <c r="H7" s="11" t="s">
        <v>49</v>
      </c>
      <c r="K7" s="40"/>
    </row>
    <row r="8" spans="1:20" ht="36" customHeight="1">
      <c r="A8" s="44"/>
      <c r="B8" s="45">
        <f>Control_2 Open_time</f>
        <v>0.35555555555555557</v>
      </c>
      <c r="C8" s="45">
        <f>Control_2 Close_time</f>
        <v>0.43680555555555556</v>
      </c>
      <c r="D8" s="46"/>
      <c r="E8" s="47">
        <f>IF(ISBLANK(Control_2 Establishment_3),"",Control_2 Establishment_3)</f>
        <v>0</v>
      </c>
      <c r="F8" s="48"/>
      <c r="G8" s="49"/>
      <c r="H8" s="11" t="s">
        <v>49</v>
      </c>
      <c r="J8" s="51" t="s">
        <v>54</v>
      </c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19" ht="36" customHeight="1">
      <c r="A9" s="34"/>
      <c r="B9" s="35">
        <f>Control_3 Open_time</f>
        <v>0.41041666666666665</v>
      </c>
      <c r="C9" s="35">
        <f>Control_3 Close_time</f>
        <v>0.5611111111111111</v>
      </c>
      <c r="D9" s="50"/>
      <c r="E9" s="37">
        <f>IF(ISBLANK(Control_3 Establishment_1),"",Control_3 Establishment_1)</f>
        <v>0</v>
      </c>
      <c r="F9" s="38"/>
      <c r="G9" s="39"/>
      <c r="H9" s="11" t="s">
        <v>49</v>
      </c>
      <c r="J9" s="52">
        <f>IF(ISBLANK(brevet),"",brevet&amp;" km Randonnée")</f>
        <v>0</v>
      </c>
      <c r="K9" s="52"/>
      <c r="L9" s="52"/>
      <c r="M9" s="52"/>
      <c r="N9" s="52"/>
      <c r="O9" s="52"/>
      <c r="P9" s="52"/>
      <c r="Q9" s="52"/>
      <c r="R9" s="52"/>
      <c r="S9" s="52"/>
    </row>
    <row r="10" spans="1:20" ht="36" customHeight="1">
      <c r="A10" s="41">
        <f>IF(ISBLANK(Distance Control_3),"",Control_3 Distance)</f>
        <v>97.10000000000002</v>
      </c>
      <c r="B10" s="42">
        <f>Control_3 Open_time</f>
        <v>0.41041666666666665</v>
      </c>
      <c r="C10" s="42">
        <f>Control_3 Close_time</f>
        <v>0.5611111111111111</v>
      </c>
      <c r="D10" s="43">
        <f>IF(ISBLANK(Locale Control_3),"",Locale Control_3)</f>
        <v>0</v>
      </c>
      <c r="E10" s="37">
        <f>IF(ISBLANK(Control_3 Establishment_2),"",Control_3 Establishment_2)</f>
        <v>0</v>
      </c>
      <c r="F10" s="38"/>
      <c r="G10" s="39"/>
      <c r="H10" s="11" t="s">
        <v>49</v>
      </c>
      <c r="J10" s="53">
        <f>IF(ISBLANK(Brevet_Description),"",Brevet_Description)</f>
        <v>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36" customHeight="1">
      <c r="A11" s="44"/>
      <c r="B11" s="45">
        <f>Control_3 Open_time</f>
        <v>0.41041666666666665</v>
      </c>
      <c r="C11" s="45">
        <f>Control_3 Close_time</f>
        <v>0.5611111111111111</v>
      </c>
      <c r="D11" s="46"/>
      <c r="E11" s="47">
        <f>IF(ISBLANK(Control_3 Establishment_3),"",Control_3 Establishment_3)</f>
        <v>0</v>
      </c>
      <c r="F11" s="48"/>
      <c r="G11" s="49"/>
      <c r="H11" s="11" t="s">
        <v>49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36" customHeight="1">
      <c r="A12" s="34"/>
      <c r="B12" s="35">
        <f>Control_4 Open_time</f>
        <v>0.4708333333333333</v>
      </c>
      <c r="C12" s="35">
        <f>Control_4 Close_time</f>
        <v>0.6979166666666667</v>
      </c>
      <c r="D12" s="50"/>
      <c r="E12" s="37">
        <f>IF(ISBLANK(Control_4 Establishment_1),"",Control_4 Establishment_1)</f>
        <v>0</v>
      </c>
      <c r="F12" s="38"/>
      <c r="G12" s="39"/>
      <c r="H12" s="11" t="s">
        <v>49</v>
      </c>
      <c r="J12" s="55" t="s">
        <v>55</v>
      </c>
      <c r="L12" s="56" t="str">
        <f>IF(ISBLANK(surname),"",First_Name&amp;" "&amp;Initial&amp;" "&amp;surname)</f>
        <v>  </v>
      </c>
      <c r="M12" s="57"/>
      <c r="N12" s="57"/>
      <c r="O12" s="57"/>
      <c r="P12" s="57"/>
      <c r="Q12" s="57"/>
      <c r="R12" s="57"/>
      <c r="S12" s="57"/>
      <c r="T12" s="58"/>
    </row>
    <row r="13" spans="1:20" ht="36" customHeight="1">
      <c r="A13" s="41">
        <f>IF(ISBLANK(Distance Control_4),"",Control_4 Distance)</f>
        <v>146.3</v>
      </c>
      <c r="B13" s="42">
        <f>Control_4 Open_time</f>
        <v>0.4708333333333333</v>
      </c>
      <c r="C13" s="42">
        <f>Control_4 Close_time</f>
        <v>0.6979166666666667</v>
      </c>
      <c r="D13" s="43">
        <f>IF(ISBLANK(Locale Control_4),"",Locale Control_4)</f>
        <v>0</v>
      </c>
      <c r="E13" s="37">
        <f>IF(ISBLANK(Control_4 Establishment_2),"",Control_4 Establishment_2)</f>
        <v>0</v>
      </c>
      <c r="F13" s="38"/>
      <c r="G13" s="39"/>
      <c r="H13" s="11" t="s">
        <v>49</v>
      </c>
      <c r="J13" s="55" t="s">
        <v>56</v>
      </c>
      <c r="K13" s="55"/>
      <c r="L13" s="59">
        <f>IF(ISBLANK(Address_1),"",Address_1)</f>
      </c>
      <c r="M13" s="60"/>
      <c r="N13" s="60"/>
      <c r="O13" s="60"/>
      <c r="P13" s="60"/>
      <c r="Q13" s="60"/>
      <c r="R13" s="60"/>
      <c r="S13" s="60"/>
      <c r="T13" s="61"/>
    </row>
    <row r="14" spans="1:20" ht="36" customHeight="1">
      <c r="A14" s="44"/>
      <c r="B14" s="45">
        <f>Control_4 Open_time</f>
        <v>0.4708333333333333</v>
      </c>
      <c r="C14" s="45">
        <f>Control_4 Close_time</f>
        <v>0.6979166666666667</v>
      </c>
      <c r="D14" s="46"/>
      <c r="E14" s="47">
        <f>IF(ISBLANK(Control_4 Establishment_3),"",Control_4 Establishment_3)</f>
        <v>0</v>
      </c>
      <c r="F14" s="48"/>
      <c r="G14" s="49"/>
      <c r="H14" s="11" t="s">
        <v>49</v>
      </c>
      <c r="J14" s="55"/>
      <c r="K14" s="55"/>
      <c r="L14" s="59">
        <f>IF(ISBLANK(Address_2),"",Address_2)</f>
      </c>
      <c r="M14" s="60"/>
      <c r="N14" s="60"/>
      <c r="O14" s="60"/>
      <c r="P14" s="60"/>
      <c r="Q14" s="60"/>
      <c r="R14" s="60"/>
      <c r="S14" s="60"/>
      <c r="T14" s="61"/>
    </row>
    <row r="15" spans="1:20" ht="36" customHeight="1">
      <c r="A15" s="34"/>
      <c r="B15" s="35">
        <f>Control_5 Open_time</f>
        <v>0.5375</v>
      </c>
      <c r="C15" s="35">
        <f>Control_5 Close_time</f>
        <v>0.8541666666666667</v>
      </c>
      <c r="D15" s="50"/>
      <c r="E15" s="37">
        <f>IF(ISBLANK(Control_5 Establishment_1),"",Control_5 Establishment_1)</f>
        <v>0</v>
      </c>
      <c r="F15" s="38"/>
      <c r="G15" s="39"/>
      <c r="H15" s="11" t="s">
        <v>49</v>
      </c>
      <c r="J15" s="55" t="s">
        <v>57</v>
      </c>
      <c r="K15" s="55"/>
      <c r="L15" s="59">
        <f>IF(ISBLANK(City),"",City)</f>
      </c>
      <c r="M15" s="60"/>
      <c r="N15" s="60"/>
      <c r="O15" s="62"/>
      <c r="P15" s="62" t="s">
        <v>58</v>
      </c>
      <c r="Q15" s="62"/>
      <c r="R15" s="62"/>
      <c r="S15" s="59">
        <f>IF(ISBLANK(Province_State),"",Province_State)</f>
      </c>
      <c r="T15" s="61"/>
    </row>
    <row r="16" spans="1:20" ht="36" customHeight="1">
      <c r="A16" s="41">
        <f>IF(ISBLANK(Distance Control_5),"",Control_5 Distance)</f>
        <v>200.6</v>
      </c>
      <c r="B16" s="42">
        <f>Control_5 Open_time</f>
        <v>0.5375</v>
      </c>
      <c r="C16" s="42">
        <f>Control_5 Close_time</f>
        <v>0.8541666666666667</v>
      </c>
      <c r="D16" s="43">
        <f>IF(ISBLANK(Locale Control_5),"",Locale Control_5)</f>
        <v>0</v>
      </c>
      <c r="E16" s="37">
        <f>IF(ISBLANK(Control_5 Establishment_2),"",Control_5 Establishment_2)</f>
        <v>0</v>
      </c>
      <c r="F16" s="38"/>
      <c r="G16" s="39"/>
      <c r="H16" s="11" t="s">
        <v>49</v>
      </c>
      <c r="J16" s="55" t="s">
        <v>59</v>
      </c>
      <c r="K16" s="55"/>
      <c r="L16" s="59">
        <f>IF(ISBLANK(Country),"",Country)</f>
      </c>
      <c r="M16" s="60"/>
      <c r="N16" s="60"/>
      <c r="O16" s="62"/>
      <c r="P16" s="62" t="s">
        <v>60</v>
      </c>
      <c r="Q16" s="62"/>
      <c r="R16" s="62"/>
      <c r="S16" s="59">
        <f>IF(ISBLANK(Postal_Code),"",Postal_Code)</f>
      </c>
      <c r="T16" s="61"/>
    </row>
    <row r="17" spans="1:19" ht="36" customHeight="1">
      <c r="A17" s="44"/>
      <c r="B17" s="45">
        <f>Control_5 Open_time</f>
        <v>0.5375</v>
      </c>
      <c r="C17" s="45">
        <f>Control_5 Close_time</f>
        <v>0.8541666666666667</v>
      </c>
      <c r="D17" s="46"/>
      <c r="E17" s="47">
        <f>IF(ISBLANK(Control_5 Establishment_3),"",Control_5 Establishment_3)</f>
        <v>0</v>
      </c>
      <c r="F17" s="48"/>
      <c r="G17" s="49"/>
      <c r="H17" s="11" t="s">
        <v>49</v>
      </c>
      <c r="L17" s="63"/>
      <c r="M17" s="63"/>
      <c r="N17" s="63"/>
      <c r="O17" s="63"/>
      <c r="P17" s="63"/>
      <c r="Q17" s="63"/>
      <c r="R17" s="63"/>
      <c r="S17" s="63"/>
    </row>
    <row r="18" spans="1:20" ht="36" customHeight="1">
      <c r="A18" s="34"/>
      <c r="B18" s="35">
        <f>Control_6 Open_time</f>
        <v>0</v>
      </c>
      <c r="C18" s="35">
        <f>Control_6 Close_time</f>
        <v>0</v>
      </c>
      <c r="D18" s="50"/>
      <c r="E18" s="37">
        <f>IF(ISBLANK(Control_6 Establishment_1),"",Control_6 Establishment_1)</f>
        <v>0</v>
      </c>
      <c r="F18" s="38"/>
      <c r="G18" s="39"/>
      <c r="H18" s="11" t="s">
        <v>49</v>
      </c>
      <c r="J18" s="55" t="s">
        <v>61</v>
      </c>
      <c r="L18" s="64">
        <f>IF(ISBLANK(Home_telephone),"",Home_telephone)</f>
      </c>
      <c r="M18" s="64"/>
      <c r="N18" s="64"/>
      <c r="O18" s="63"/>
      <c r="P18" s="62" t="s">
        <v>62</v>
      </c>
      <c r="Q18" s="65">
        <f>IF(ISBLANK(email),"",email)</f>
      </c>
      <c r="R18" s="66"/>
      <c r="S18" s="66"/>
      <c r="T18" s="67"/>
    </row>
    <row r="19" spans="1:19" ht="36" customHeight="1">
      <c r="A19" s="68">
        <f>IF(ISBLANK(Distance Control_6),"",Control_6 Distance)</f>
      </c>
      <c r="B19" s="69">
        <f>Control_6 Open_time</f>
        <v>0</v>
      </c>
      <c r="C19" s="69">
        <f>Control_6 Close_time</f>
        <v>0</v>
      </c>
      <c r="D19" s="37">
        <f>IF(ISBLANK(Locale Control_6),"",Locale Control_6)</f>
        <v>0</v>
      </c>
      <c r="E19" s="37">
        <f>IF(ISBLANK(Control_6 Establishment_2),"",Control_6 Establishment_2)</f>
        <v>0</v>
      </c>
      <c r="F19" s="38"/>
      <c r="G19" s="39"/>
      <c r="H19" s="11" t="s">
        <v>49</v>
      </c>
      <c r="L19" s="63"/>
      <c r="M19" s="63"/>
      <c r="N19" s="63"/>
      <c r="O19" s="63"/>
      <c r="P19" s="63"/>
      <c r="Q19" s="63"/>
      <c r="R19" s="63"/>
      <c r="S19" s="63"/>
    </row>
    <row r="20" spans="1:20" ht="36" customHeight="1">
      <c r="A20" s="44"/>
      <c r="B20" s="45">
        <f>Control_6 Open_time</f>
        <v>0</v>
      </c>
      <c r="C20" s="45">
        <f>Control_6 Close_time</f>
        <v>0</v>
      </c>
      <c r="D20" s="46"/>
      <c r="E20" s="47">
        <f>IF(ISBLANK(Control_6 Establishment_3),"",Control_6 Establishment_3)</f>
        <v>0</v>
      </c>
      <c r="F20" s="48"/>
      <c r="G20" s="49"/>
      <c r="H20" s="11" t="s">
        <v>49</v>
      </c>
      <c r="J20" s="70" t="s">
        <v>63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4"/>
      <c r="B21" s="35">
        <f>Control_7 Open_time</f>
        <v>0</v>
      </c>
      <c r="C21" s="35">
        <f>Control_7 Close_time</f>
        <v>0</v>
      </c>
      <c r="D21" s="50"/>
      <c r="E21" s="37">
        <f>IF(ISBLANK(Control_7 Establishment_1),"",Control_7 Establishment_1)</f>
        <v>0</v>
      </c>
      <c r="F21" s="38"/>
      <c r="G21" s="39"/>
      <c r="H21" s="11" t="s">
        <v>49</v>
      </c>
      <c r="J21" s="70" t="s">
        <v>64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68">
        <f>IF(ISBLANK(Distance Control_7),"",Control_7 Distance)</f>
      </c>
      <c r="B22" s="69">
        <f>Control_7 Open_time</f>
        <v>0</v>
      </c>
      <c r="C22" s="69">
        <f>Control_7 Close_time</f>
        <v>0</v>
      </c>
      <c r="D22" s="37">
        <f>IF(ISBLANK(Locale Control_7),"",Locale Control_7)</f>
        <v>0</v>
      </c>
      <c r="E22" s="37">
        <f>IF(ISBLANK(Control_7 Establishment_2),"",Control_7 Establishment_2)</f>
        <v>0</v>
      </c>
      <c r="F22" s="38"/>
      <c r="G22" s="39"/>
      <c r="H22" s="11" t="s">
        <v>49</v>
      </c>
      <c r="L22" s="63"/>
      <c r="M22" s="63"/>
      <c r="N22" s="63"/>
      <c r="O22" s="63"/>
      <c r="P22" s="63"/>
      <c r="Q22" s="63"/>
      <c r="R22" s="63"/>
      <c r="S22" s="63"/>
    </row>
    <row r="23" spans="1:20" ht="36" customHeight="1">
      <c r="A23" s="44"/>
      <c r="B23" s="45">
        <f>Control_7 Open_time</f>
        <v>0</v>
      </c>
      <c r="C23" s="45">
        <f>Control_7 Close_time</f>
        <v>0</v>
      </c>
      <c r="D23" s="46"/>
      <c r="E23" s="47">
        <f>IF(ISBLANK(Control_7 Establishment_3),"",Control_7 Establishment_3)</f>
        <v>0</v>
      </c>
      <c r="F23" s="48"/>
      <c r="G23" s="49"/>
      <c r="H23" s="11" t="s">
        <v>49</v>
      </c>
      <c r="J23" s="71" t="s">
        <v>65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4"/>
      <c r="B24" s="35">
        <f>Control_8 Open_time</f>
        <v>0</v>
      </c>
      <c r="C24" s="35">
        <f>Control_8 Close_time</f>
        <v>0</v>
      </c>
      <c r="D24" s="50"/>
      <c r="E24" s="37">
        <f>IF(ISBLANK(Control_8 Establishment_1),"",Control_8 Establishment_1)</f>
        <v>0</v>
      </c>
      <c r="F24" s="38"/>
      <c r="G24" s="39"/>
      <c r="H24" s="11" t="s">
        <v>49</v>
      </c>
      <c r="J24" s="55" t="s">
        <v>66</v>
      </c>
      <c r="K24" s="72">
        <f>IF(ISBLANK(Start_date),"",Start_date)</f>
      </c>
      <c r="L24" s="72"/>
      <c r="M24" s="72"/>
      <c r="N24" s="63"/>
      <c r="O24" s="62" t="s">
        <v>67</v>
      </c>
      <c r="P24" s="63"/>
      <c r="Q24" s="66"/>
      <c r="R24" s="66"/>
      <c r="S24" s="66"/>
      <c r="T24" s="73"/>
    </row>
    <row r="25" spans="1:20" ht="36" customHeight="1">
      <c r="A25" s="68">
        <f>IF(ISBLANK(Distance Control_8),"",Control_8 Distance)</f>
      </c>
      <c r="B25" s="69">
        <f>Control_8 Open_time</f>
        <v>0</v>
      </c>
      <c r="C25" s="69">
        <f>Control_8 Close_time</f>
        <v>0</v>
      </c>
      <c r="D25" s="37">
        <f>IF(ISBLANK(Locale Control_8),"",Locale Control_8)</f>
        <v>0</v>
      </c>
      <c r="E25" s="37">
        <f>IF(ISBLANK(Control_8 Establishment_2),"",Control_8 Establishment_2)</f>
        <v>0</v>
      </c>
      <c r="F25" s="38"/>
      <c r="G25" s="39"/>
      <c r="H25" s="11" t="s">
        <v>49</v>
      </c>
      <c r="L25" s="63"/>
      <c r="M25" s="63"/>
      <c r="N25" s="63"/>
      <c r="O25" s="62" t="s">
        <v>68</v>
      </c>
      <c r="P25" s="63"/>
      <c r="Q25" s="66"/>
      <c r="R25" s="66"/>
      <c r="S25" s="66"/>
      <c r="T25" s="73"/>
    </row>
    <row r="26" spans="1:20" ht="36" customHeight="1">
      <c r="A26" s="44"/>
      <c r="B26" s="45">
        <f>Control_8 Open_time</f>
        <v>0</v>
      </c>
      <c r="C26" s="45">
        <f>Control_8 Close_time</f>
        <v>0</v>
      </c>
      <c r="D26" s="46"/>
      <c r="E26" s="47">
        <f>IF(ISBLANK(Control_8 Establishment_3),"",Control_8 Establishment_3)</f>
        <v>0</v>
      </c>
      <c r="F26" s="48"/>
      <c r="G26" s="49"/>
      <c r="H26" s="11" t="s">
        <v>49</v>
      </c>
      <c r="J26" s="73"/>
      <c r="K26" s="73"/>
      <c r="L26" s="66"/>
      <c r="M26" s="66"/>
      <c r="N26" s="63"/>
      <c r="O26" s="62" t="s">
        <v>69</v>
      </c>
      <c r="P26" s="63"/>
      <c r="Q26" s="66"/>
      <c r="R26" s="66"/>
      <c r="S26" s="66"/>
      <c r="T26" s="73"/>
    </row>
    <row r="27" spans="1:19" ht="36" customHeight="1">
      <c r="A27" s="34"/>
      <c r="B27" s="35">
        <f>Control_9 Open_time</f>
        <v>0</v>
      </c>
      <c r="C27" s="35">
        <f>Control_9 Close_time</f>
        <v>0</v>
      </c>
      <c r="D27" s="50"/>
      <c r="E27" s="37">
        <f>IF(ISBLANK(Control_9 Establishment_1),"",Control_9 Establishment_1)</f>
        <v>0</v>
      </c>
      <c r="F27" s="38"/>
      <c r="G27" s="39"/>
      <c r="H27" s="11" t="s">
        <v>49</v>
      </c>
      <c r="J27" s="74" t="s">
        <v>70</v>
      </c>
      <c r="K27" s="74"/>
      <c r="L27" s="74"/>
      <c r="M27" s="74"/>
      <c r="N27" s="63"/>
      <c r="O27" s="63"/>
      <c r="P27" s="63"/>
      <c r="Q27" s="63"/>
      <c r="R27" s="63"/>
      <c r="S27" s="63"/>
    </row>
    <row r="28" spans="1:19" ht="36" customHeight="1">
      <c r="A28" s="41">
        <f>IF(ISBLANK(Distance Control_9),"",Control_9 Distance)</f>
      </c>
      <c r="B28" s="42">
        <f>Control_9 Open_time</f>
        <v>0</v>
      </c>
      <c r="C28" s="42">
        <f>Control_9 Close_time</f>
        <v>0</v>
      </c>
      <c r="D28" s="43">
        <f>IF(ISBLANK(Locale Control_9),"",Locale Control_9)</f>
        <v>0</v>
      </c>
      <c r="E28" s="37">
        <f>IF(ISBLANK(Control_9 Establishment_2),"",Control_9 Establishment_2)</f>
        <v>0</v>
      </c>
      <c r="F28" s="38"/>
      <c r="G28" s="39"/>
      <c r="H28" s="11" t="s">
        <v>49</v>
      </c>
      <c r="L28" s="75" t="s">
        <v>71</v>
      </c>
      <c r="M28" s="75"/>
      <c r="N28" s="75"/>
      <c r="O28" s="75"/>
      <c r="P28" s="75"/>
      <c r="Q28" s="75"/>
      <c r="R28" s="63"/>
      <c r="S28" s="63"/>
    </row>
    <row r="29" spans="1:19" ht="36" customHeight="1">
      <c r="A29" s="44"/>
      <c r="B29" s="45">
        <f>Control_9 Open_time</f>
        <v>0</v>
      </c>
      <c r="C29" s="45">
        <f>Control_9 Close_time</f>
        <v>0</v>
      </c>
      <c r="D29" s="46"/>
      <c r="E29" s="47">
        <f>IF(ISBLANK(Control_9 Establishment_3),"",Control_9 Establishment_3)</f>
        <v>0</v>
      </c>
      <c r="F29" s="48"/>
      <c r="G29" s="49"/>
      <c r="H29" s="11" t="s">
        <v>49</v>
      </c>
      <c r="K29" s="76"/>
      <c r="L29" s="77"/>
      <c r="M29" s="77"/>
      <c r="N29" s="78"/>
      <c r="O29" s="79"/>
      <c r="P29" s="77"/>
      <c r="Q29" s="77"/>
      <c r="R29" s="78"/>
      <c r="S29" s="80" t="s">
        <v>72</v>
      </c>
    </row>
    <row r="30" spans="1:19" ht="36" customHeight="1">
      <c r="A30" s="34"/>
      <c r="B30" s="35">
        <f>Control_10 Open_time</f>
        <v>0</v>
      </c>
      <c r="C30" s="35">
        <f>Control_10 Close_time</f>
        <v>0</v>
      </c>
      <c r="D30" s="50"/>
      <c r="E30" s="37">
        <f>IF(ISBLANK(Control_10 Establishment_1),"",Control_10 Establishment_1)</f>
        <v>0</v>
      </c>
      <c r="F30" s="38"/>
      <c r="G30" s="39"/>
      <c r="H30" s="11" t="s">
        <v>49</v>
      </c>
      <c r="K30" s="81"/>
      <c r="L30" s="82"/>
      <c r="M30" s="82"/>
      <c r="N30" s="83"/>
      <c r="O30" s="84"/>
      <c r="P30" s="82"/>
      <c r="Q30" s="82"/>
      <c r="R30" s="83"/>
      <c r="S30" s="85" t="s">
        <v>73</v>
      </c>
    </row>
    <row r="31" spans="1:21" ht="36" customHeight="1">
      <c r="A31" s="41">
        <f>IF(ISBLANK(Distance Control_10),"",Control_10 Distance)</f>
      </c>
      <c r="B31" s="42">
        <f>Control_10 Open_time</f>
        <v>0</v>
      </c>
      <c r="C31" s="42">
        <f>Control_10 Close_time</f>
        <v>0</v>
      </c>
      <c r="D31" s="43">
        <f>IF(ISBLANK(Locale Control_10),"",Locale Control_10)</f>
        <v>0</v>
      </c>
      <c r="E31" s="37">
        <f>IF(ISBLANK(Control_10 Establishment_2),"",Control_10 Establishment_2)</f>
        <v>0</v>
      </c>
      <c r="F31" s="38"/>
      <c r="G31" s="39"/>
      <c r="H31" s="11" t="s">
        <v>49</v>
      </c>
      <c r="K31" s="86"/>
      <c r="L31" s="66"/>
      <c r="M31" s="66"/>
      <c r="N31" s="87"/>
      <c r="O31" s="88"/>
      <c r="P31" s="66"/>
      <c r="Q31" s="66"/>
      <c r="R31" s="87"/>
      <c r="S31" s="63"/>
      <c r="U31" s="89"/>
    </row>
    <row r="32" spans="1:21" ht="36" customHeight="1">
      <c r="A32" s="44"/>
      <c r="B32" s="45">
        <f>Control_10 Open_time</f>
        <v>0</v>
      </c>
      <c r="C32" s="45">
        <f>Control_10 Close_time</f>
        <v>0</v>
      </c>
      <c r="D32" s="46"/>
      <c r="E32" s="47">
        <f>IF(ISBLANK(Control_10 Establishment_3),"",Control_10 Establishment_3)</f>
        <v>0</v>
      </c>
      <c r="F32" s="48"/>
      <c r="G32" s="49"/>
      <c r="H32" s="11" t="s">
        <v>49</v>
      </c>
      <c r="L32" s="62" t="s">
        <v>74</v>
      </c>
      <c r="M32" s="63"/>
      <c r="N32" s="60" t="str">
        <f>IF(ISBLANK(Brevet_Number),"",Brevet_Number)</f>
        <v>VI0200A</v>
      </c>
      <c r="O32" s="60"/>
      <c r="P32" s="60"/>
      <c r="Q32" s="63"/>
      <c r="R32" s="63"/>
      <c r="S32" s="63"/>
      <c r="U32" s="89"/>
    </row>
    <row r="33" ht="12.75">
      <c r="H33" s="9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" sqref="P1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91"/>
      <c r="B1" s="92" t="s">
        <v>75</v>
      </c>
      <c r="C1" s="92" t="s">
        <v>76</v>
      </c>
      <c r="D1" s="92" t="s">
        <v>77</v>
      </c>
      <c r="E1" s="92" t="s">
        <v>78</v>
      </c>
      <c r="F1" s="92" t="s">
        <v>79</v>
      </c>
      <c r="G1" s="92" t="s">
        <v>57</v>
      </c>
      <c r="H1" s="93" t="s">
        <v>58</v>
      </c>
      <c r="I1" s="92" t="s">
        <v>59</v>
      </c>
      <c r="J1" s="92" t="s">
        <v>60</v>
      </c>
      <c r="K1" s="94" t="s">
        <v>80</v>
      </c>
      <c r="L1" s="94" t="s">
        <v>81</v>
      </c>
      <c r="M1" s="95" t="s">
        <v>82</v>
      </c>
      <c r="N1" s="96" t="s">
        <v>62</v>
      </c>
      <c r="O1" s="97" t="s">
        <v>83</v>
      </c>
      <c r="P1" s="97" t="s">
        <v>84</v>
      </c>
      <c r="Q1" s="97" t="s">
        <v>85</v>
      </c>
      <c r="R1" s="97" t="s">
        <v>86</v>
      </c>
    </row>
    <row r="2" spans="1:18" ht="12.75">
      <c r="A2" s="91"/>
      <c r="B2" s="98">
        <f aca="true" t="shared" si="0" ref="B2:N2">IF(ISBLANK(B3),"",B3)</f>
      </c>
      <c r="C2" s="98">
        <f t="shared" si="0"/>
      </c>
      <c r="D2" s="98">
        <f t="shared" si="0"/>
      </c>
      <c r="E2" s="98">
        <f t="shared" si="0"/>
      </c>
      <c r="F2" s="98">
        <f t="shared" si="0"/>
      </c>
      <c r="G2" s="98">
        <f t="shared" si="0"/>
      </c>
      <c r="H2" s="98">
        <f t="shared" si="0"/>
      </c>
      <c r="I2" s="98">
        <f t="shared" si="0"/>
      </c>
      <c r="J2" s="98">
        <f t="shared" si="0"/>
      </c>
      <c r="K2" s="99">
        <f t="shared" si="0"/>
      </c>
      <c r="L2" s="99">
        <f t="shared" si="0"/>
      </c>
      <c r="M2" s="99">
        <f t="shared" si="0"/>
      </c>
      <c r="N2" s="98">
        <f t="shared" si="0"/>
      </c>
      <c r="O2" s="100"/>
      <c r="P2" s="101"/>
      <c r="Q2" s="100"/>
      <c r="R2" s="100"/>
    </row>
    <row r="3" spans="1:18" ht="12.75">
      <c r="A3" s="102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104"/>
      <c r="M3" s="104"/>
      <c r="N3" s="103"/>
      <c r="O3" s="105"/>
      <c r="P3" s="106"/>
      <c r="Q3" s="105"/>
      <c r="R3" s="105"/>
    </row>
    <row r="4" spans="1:18" ht="12.7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4"/>
      <c r="L4" s="104"/>
      <c r="M4" s="104"/>
      <c r="N4" s="103"/>
      <c r="O4" s="105"/>
      <c r="P4" s="106"/>
      <c r="Q4" s="105"/>
      <c r="R4" s="105"/>
    </row>
    <row r="5" spans="2:21" s="102" customFormat="1" ht="12.75">
      <c r="B5" s="103"/>
      <c r="C5" s="107"/>
      <c r="D5" s="108"/>
      <c r="E5" s="107"/>
      <c r="F5" s="108"/>
      <c r="G5" s="107"/>
      <c r="H5" s="108"/>
      <c r="I5" s="108"/>
      <c r="J5" s="107"/>
      <c r="K5" s="109"/>
      <c r="L5" s="104"/>
      <c r="M5" s="104"/>
      <c r="N5" s="107"/>
      <c r="O5" s="106"/>
      <c r="P5" s="106"/>
      <c r="Q5" s="105"/>
      <c r="R5" s="105"/>
      <c r="S5"/>
      <c r="T5"/>
      <c r="U5"/>
    </row>
    <row r="6" spans="1:18" ht="12.75">
      <c r="A6" s="102"/>
      <c r="B6" s="108"/>
      <c r="C6" s="108"/>
      <c r="D6" s="108"/>
      <c r="E6" s="108"/>
      <c r="F6" s="108"/>
      <c r="G6" s="108"/>
      <c r="H6" s="103"/>
      <c r="I6" s="103"/>
      <c r="J6" s="108"/>
      <c r="K6" s="104"/>
      <c r="L6" s="104"/>
      <c r="M6" s="110"/>
      <c r="N6" s="108"/>
      <c r="O6" s="106"/>
      <c r="P6" s="106"/>
      <c r="Q6" s="105"/>
      <c r="R6" s="105"/>
    </row>
    <row r="7" spans="2:21" s="102" customFormat="1" ht="12.75"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09"/>
      <c r="M7" s="109"/>
      <c r="N7" s="108"/>
      <c r="O7" s="109"/>
      <c r="P7" s="108"/>
      <c r="Q7" s="106"/>
      <c r="R7" s="106"/>
      <c r="S7"/>
      <c r="T7"/>
      <c r="U7"/>
    </row>
    <row r="8" spans="2:18" s="102" customFormat="1" ht="12.75">
      <c r="B8" s="103"/>
      <c r="C8" s="103"/>
      <c r="D8" s="103"/>
      <c r="E8" s="103"/>
      <c r="F8" s="103"/>
      <c r="G8" s="103"/>
      <c r="H8" s="103"/>
      <c r="I8" s="103"/>
      <c r="J8" s="103"/>
      <c r="K8" s="104"/>
      <c r="L8" s="104"/>
      <c r="M8" s="104"/>
      <c r="N8" s="103"/>
      <c r="O8" s="105"/>
      <c r="P8" s="105"/>
      <c r="Q8" s="105"/>
      <c r="R8" s="105"/>
    </row>
    <row r="9" spans="2:18" s="102" customFormat="1" ht="12.75">
      <c r="B9" s="103"/>
      <c r="C9" s="103"/>
      <c r="D9" s="103"/>
      <c r="E9" s="103"/>
      <c r="F9" s="103"/>
      <c r="G9" s="103"/>
      <c r="H9" s="103"/>
      <c r="I9" s="103"/>
      <c r="J9" s="103"/>
      <c r="K9" s="104"/>
      <c r="L9" s="104"/>
      <c r="M9" s="104"/>
      <c r="N9" s="103"/>
      <c r="O9" s="105"/>
      <c r="P9" s="106"/>
      <c r="Q9" s="105"/>
      <c r="R9" s="105"/>
    </row>
    <row r="10" spans="1:18" ht="12.7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04"/>
      <c r="M10" s="104"/>
      <c r="N10" s="103"/>
      <c r="O10" s="105"/>
      <c r="P10" s="105"/>
      <c r="Q10" s="105"/>
      <c r="R10" s="105"/>
    </row>
    <row r="11" spans="1:18" ht="12.75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4"/>
      <c r="L11" s="104"/>
      <c r="M11" s="104"/>
      <c r="N11" s="103"/>
      <c r="O11" s="105"/>
      <c r="P11" s="106"/>
      <c r="Q11" s="105"/>
      <c r="R11" s="105"/>
    </row>
    <row r="12" spans="1:18" ht="12.75">
      <c r="A12" s="102"/>
      <c r="B12" s="108"/>
      <c r="C12" s="108"/>
      <c r="D12" s="108"/>
      <c r="E12" s="108"/>
      <c r="F12" s="108"/>
      <c r="G12" s="108"/>
      <c r="H12" s="103"/>
      <c r="I12" s="103"/>
      <c r="J12" s="108"/>
      <c r="K12" s="104"/>
      <c r="L12" s="104"/>
      <c r="M12" s="104"/>
      <c r="N12" s="108"/>
      <c r="O12" s="105"/>
      <c r="P12" s="105"/>
      <c r="Q12" s="105"/>
      <c r="R12" s="105"/>
    </row>
    <row r="13" spans="1:18" ht="12.75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4"/>
      <c r="L13" s="104"/>
      <c r="M13" s="104"/>
      <c r="N13" s="103"/>
      <c r="O13" s="105"/>
      <c r="P13" s="106"/>
      <c r="Q13" s="105"/>
      <c r="R13" s="105"/>
    </row>
    <row r="14" spans="2:18" s="102" customFormat="1" ht="12.75">
      <c r="B14" s="108"/>
      <c r="C14" s="108"/>
      <c r="D14" s="108"/>
      <c r="E14" s="107"/>
      <c r="F14" s="108"/>
      <c r="G14" s="108"/>
      <c r="H14" s="108"/>
      <c r="I14" s="108"/>
      <c r="J14" s="107"/>
      <c r="K14" s="104"/>
      <c r="L14" s="104"/>
      <c r="M14" s="104"/>
      <c r="N14" s="108"/>
      <c r="O14" s="105"/>
      <c r="P14" s="105"/>
      <c r="Q14" s="105"/>
      <c r="R14" s="105"/>
    </row>
    <row r="15" spans="1:18" ht="12.7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4"/>
      <c r="L15" s="104"/>
      <c r="M15" s="104"/>
      <c r="N15" s="103"/>
      <c r="O15" s="106"/>
      <c r="P15" s="106"/>
      <c r="Q15" s="105"/>
      <c r="R15" s="105"/>
    </row>
    <row r="16" spans="1:18" ht="12.7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4"/>
      <c r="L16" s="104"/>
      <c r="M16" s="104"/>
      <c r="N16" s="103"/>
      <c r="O16" s="105"/>
      <c r="P16" s="106"/>
      <c r="Q16" s="105"/>
      <c r="R16" s="105"/>
    </row>
    <row r="17" spans="2:18" s="102" customFormat="1" ht="12.75">
      <c r="B17" s="107"/>
      <c r="C17" s="107"/>
      <c r="D17" s="107"/>
      <c r="E17" s="107"/>
      <c r="F17" s="107"/>
      <c r="G17" s="107"/>
      <c r="H17" s="107"/>
      <c r="I17" s="107"/>
      <c r="J17" s="110"/>
      <c r="K17" s="104"/>
      <c r="L17" s="104"/>
      <c r="M17" s="104"/>
      <c r="N17" s="107"/>
      <c r="O17" s="105"/>
      <c r="P17" s="105"/>
      <c r="Q17" s="105"/>
      <c r="R17" s="105"/>
    </row>
    <row r="18" spans="1:18" ht="12.75">
      <c r="A18" s="102"/>
      <c r="B18" s="108"/>
      <c r="C18" s="108"/>
      <c r="D18" s="108"/>
      <c r="E18" s="108"/>
      <c r="F18" s="108"/>
      <c r="G18" s="108"/>
      <c r="H18" s="103"/>
      <c r="I18" s="103"/>
      <c r="J18" s="108"/>
      <c r="K18" s="104"/>
      <c r="L18" s="104"/>
      <c r="M18" s="104"/>
      <c r="N18" s="108"/>
      <c r="O18" s="105"/>
      <c r="P18" s="106"/>
      <c r="Q18" s="105"/>
      <c r="R18" s="105"/>
    </row>
    <row r="19" spans="1:18" ht="12.7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4"/>
      <c r="L19" s="104"/>
      <c r="M19" s="104"/>
      <c r="N19" s="103"/>
      <c r="O19" s="105"/>
      <c r="P19" s="106"/>
      <c r="Q19" s="105"/>
      <c r="R19" s="105"/>
    </row>
    <row r="20" spans="2:18" s="102" customFormat="1" ht="12.75">
      <c r="B20" s="107"/>
      <c r="C20" s="107"/>
      <c r="D20" s="107"/>
      <c r="E20" s="107"/>
      <c r="F20" s="107"/>
      <c r="G20" s="107"/>
      <c r="H20" s="107"/>
      <c r="I20" s="107"/>
      <c r="J20" s="110"/>
      <c r="K20" s="110"/>
      <c r="L20" s="104"/>
      <c r="M20" s="104"/>
      <c r="N20" s="107"/>
      <c r="O20" s="105"/>
      <c r="P20" s="105"/>
      <c r="Q20" s="105"/>
      <c r="R20" s="105"/>
    </row>
    <row r="21" spans="1:18" ht="12.7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L21" s="104"/>
      <c r="M21" s="104"/>
      <c r="N21" s="103"/>
      <c r="O21" s="105"/>
      <c r="P21" s="106"/>
      <c r="Q21" s="105"/>
      <c r="R21" s="105"/>
    </row>
    <row r="22" spans="1:18" ht="12.7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4"/>
      <c r="L22" s="104"/>
      <c r="M22" s="104"/>
      <c r="N22" s="103"/>
      <c r="O22" s="105"/>
      <c r="P22" s="106"/>
      <c r="Q22" s="105"/>
      <c r="R22" s="105"/>
    </row>
    <row r="23" spans="2:18" ht="12.75">
      <c r="B23" s="103"/>
      <c r="C23" s="103"/>
      <c r="D23" s="103"/>
      <c r="E23" s="103"/>
      <c r="F23" s="103"/>
      <c r="G23" s="103"/>
      <c r="H23" s="103"/>
      <c r="I23" s="103"/>
      <c r="J23" s="103"/>
      <c r="K23" s="104"/>
      <c r="L23" s="104"/>
      <c r="M23" s="104"/>
      <c r="N23" s="103"/>
      <c r="O23" s="106"/>
      <c r="P23" s="106"/>
      <c r="Q23" s="106"/>
      <c r="R23" s="105"/>
    </row>
    <row r="24" spans="1:18" ht="12.7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4"/>
      <c r="L24" s="104"/>
      <c r="M24" s="104"/>
      <c r="N24" s="103"/>
      <c r="O24" s="105"/>
      <c r="P24" s="105"/>
      <c r="Q24" s="105"/>
      <c r="R24" s="105"/>
    </row>
    <row r="25" spans="1:18" ht="12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4"/>
      <c r="L25" s="104"/>
      <c r="M25" s="104"/>
      <c r="N25" s="103"/>
      <c r="O25" s="105"/>
      <c r="P25" s="105"/>
      <c r="Q25" s="105"/>
      <c r="R25" s="105"/>
    </row>
    <row r="26" spans="2:18" ht="12.75">
      <c r="B26" s="103"/>
      <c r="C26" s="103"/>
      <c r="D26" s="103"/>
      <c r="E26" s="103"/>
      <c r="F26" s="103"/>
      <c r="G26" s="103"/>
      <c r="H26" s="103"/>
      <c r="I26" s="103"/>
      <c r="J26" s="103"/>
      <c r="K26" s="104"/>
      <c r="L26" s="104"/>
      <c r="M26" s="104"/>
      <c r="N26" s="103"/>
      <c r="O26" s="106"/>
      <c r="P26" s="105"/>
      <c r="Q26" s="106"/>
      <c r="R26" s="105"/>
    </row>
    <row r="27" spans="1:18" ht="12.7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4"/>
      <c r="L27" s="104"/>
      <c r="M27" s="104"/>
      <c r="N27" s="103"/>
      <c r="O27" s="105"/>
      <c r="P27" s="106"/>
      <c r="Q27" s="105"/>
      <c r="R27" s="105"/>
    </row>
    <row r="28" spans="2:18" ht="12.75">
      <c r="B28" s="103"/>
      <c r="C28" s="103"/>
      <c r="D28" s="103"/>
      <c r="E28" s="103"/>
      <c r="F28" s="103"/>
      <c r="G28" s="103"/>
      <c r="H28" s="103"/>
      <c r="I28" s="103"/>
      <c r="J28" s="103"/>
      <c r="K28" s="104"/>
      <c r="L28" s="104"/>
      <c r="M28" s="104"/>
      <c r="N28" s="103"/>
      <c r="O28" s="106"/>
      <c r="P28" s="106"/>
      <c r="Q28" s="106"/>
      <c r="R28" s="105"/>
    </row>
    <row r="29" spans="1:18" ht="12.7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4"/>
      <c r="L29" s="104"/>
      <c r="M29" s="104"/>
      <c r="N29" s="103"/>
      <c r="O29" s="105"/>
      <c r="P29" s="106"/>
      <c r="Q29" s="105"/>
      <c r="R29" s="105"/>
    </row>
    <row r="30" spans="2:18" ht="12.75">
      <c r="B30" s="103"/>
      <c r="C30" s="103"/>
      <c r="D30" s="103"/>
      <c r="E30" s="103"/>
      <c r="F30" s="103"/>
      <c r="G30" s="103"/>
      <c r="H30" s="103"/>
      <c r="I30" s="103"/>
      <c r="J30" s="103"/>
      <c r="K30" s="104"/>
      <c r="L30" s="104"/>
      <c r="M30" s="104"/>
      <c r="N30" s="103"/>
      <c r="O30" s="106"/>
      <c r="P30" s="105"/>
      <c r="Q30" s="106"/>
      <c r="R30" s="105"/>
    </row>
    <row r="31" spans="1:18" ht="12.7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3"/>
      <c r="O31" s="105"/>
      <c r="P31" s="106"/>
      <c r="Q31" s="105"/>
      <c r="R31" s="105"/>
    </row>
    <row r="32" spans="1:18" ht="12.7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4"/>
      <c r="L32" s="104"/>
      <c r="M32" s="104"/>
      <c r="N32" s="103"/>
      <c r="O32" s="105"/>
      <c r="P32" s="105"/>
      <c r="Q32" s="105"/>
      <c r="R32" s="105"/>
    </row>
    <row r="33" spans="1:18" s="102" customFormat="1" ht="12.75">
      <c r="A33"/>
      <c r="B33" s="107"/>
      <c r="C33" s="107"/>
      <c r="D33" s="107"/>
      <c r="E33" s="107"/>
      <c r="F33" s="107"/>
      <c r="G33" s="107"/>
      <c r="H33" s="107"/>
      <c r="I33" s="107"/>
      <c r="J33" s="110"/>
      <c r="K33" s="110"/>
      <c r="L33" s="104"/>
      <c r="M33" s="104"/>
      <c r="N33" s="107"/>
      <c r="O33" s="105"/>
      <c r="P33" s="105"/>
      <c r="Q33" s="105"/>
      <c r="R33" s="105"/>
    </row>
    <row r="34" spans="1:18" ht="12.7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4"/>
      <c r="L34" s="104"/>
      <c r="M34" s="104"/>
      <c r="N34" s="103"/>
      <c r="O34" s="105"/>
      <c r="P34" s="106"/>
      <c r="Q34" s="105"/>
      <c r="R34" s="105"/>
    </row>
    <row r="35" spans="1:18" s="102" customFormat="1" ht="12.75">
      <c r="A35"/>
      <c r="B35" s="107"/>
      <c r="C35" s="107"/>
      <c r="D35" s="107"/>
      <c r="E35" s="107"/>
      <c r="F35" s="107"/>
      <c r="G35" s="107"/>
      <c r="H35" s="107"/>
      <c r="I35" s="107"/>
      <c r="J35" s="110"/>
      <c r="K35" s="110"/>
      <c r="L35" s="104"/>
      <c r="M35" s="104"/>
      <c r="N35" s="107"/>
      <c r="O35" s="105"/>
      <c r="P35" s="105"/>
      <c r="Q35" s="105"/>
      <c r="R35" s="105"/>
    </row>
    <row r="36" spans="1:18" ht="12.7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4"/>
      <c r="L36" s="104"/>
      <c r="M36" s="104"/>
      <c r="N36" s="103"/>
      <c r="O36" s="105"/>
      <c r="P36" s="106"/>
      <c r="Q36" s="105"/>
      <c r="R36" s="105"/>
    </row>
    <row r="37" spans="1:18" s="102" customFormat="1" ht="12.75">
      <c r="A37"/>
      <c r="B37" s="107"/>
      <c r="C37" s="107"/>
      <c r="D37" s="107"/>
      <c r="E37" s="107"/>
      <c r="F37" s="107"/>
      <c r="G37" s="107"/>
      <c r="H37" s="107"/>
      <c r="I37" s="107"/>
      <c r="J37" s="110"/>
      <c r="K37" s="110"/>
      <c r="L37" s="104"/>
      <c r="M37" s="104"/>
      <c r="N37" s="107"/>
      <c r="O37" s="105"/>
      <c r="P37" s="105"/>
      <c r="Q37" s="105"/>
      <c r="R37" s="105"/>
    </row>
    <row r="38" spans="1:18" ht="12.7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4"/>
      <c r="L38" s="104"/>
      <c r="M38" s="104"/>
      <c r="N38" s="103"/>
      <c r="O38" s="105"/>
      <c r="P38" s="106"/>
      <c r="Q38" s="105"/>
      <c r="R38" s="105"/>
    </row>
    <row r="39" spans="1:18" s="102" customFormat="1" ht="12.75">
      <c r="A39"/>
      <c r="B39" s="107"/>
      <c r="C39" s="107"/>
      <c r="D39" s="107"/>
      <c r="E39" s="107"/>
      <c r="F39" s="107"/>
      <c r="G39" s="107"/>
      <c r="H39" s="107"/>
      <c r="I39" s="107"/>
      <c r="J39" s="110"/>
      <c r="K39" s="110"/>
      <c r="L39" s="104"/>
      <c r="M39" s="104"/>
      <c r="N39" s="107"/>
      <c r="O39" s="105"/>
      <c r="P39" s="105"/>
      <c r="Q39" s="105"/>
      <c r="R39" s="10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7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5.57421875" style="111" customWidth="1"/>
    <col min="2" max="2" width="3.7109375" style="112" customWidth="1"/>
    <col min="3" max="3" width="30.7109375" style="113" customWidth="1"/>
    <col min="4" max="4" width="5.57421875" style="111" customWidth="1"/>
    <col min="5" max="5" width="0.71875" style="0" customWidth="1"/>
    <col min="6" max="6" width="5.57421875" style="111" customWidth="1"/>
    <col min="7" max="7" width="3.7109375" style="112" customWidth="1"/>
    <col min="8" max="8" width="30.7109375" style="113" customWidth="1"/>
    <col min="9" max="9" width="5.57421875" style="111" customWidth="1"/>
  </cols>
  <sheetData>
    <row r="1" spans="1:9" ht="60.75">
      <c r="A1" s="114" t="s">
        <v>87</v>
      </c>
      <c r="B1" s="115" t="s">
        <v>88</v>
      </c>
      <c r="C1" s="116" t="s">
        <v>89</v>
      </c>
      <c r="D1" s="117" t="s">
        <v>90</v>
      </c>
      <c r="F1" s="114" t="s">
        <v>87</v>
      </c>
      <c r="G1" s="115" t="s">
        <v>88</v>
      </c>
      <c r="H1" s="116" t="s">
        <v>89</v>
      </c>
      <c r="I1" s="117" t="s">
        <v>90</v>
      </c>
    </row>
    <row r="2" spans="1:9" ht="12.75">
      <c r="A2" s="118"/>
      <c r="B2" s="119"/>
      <c r="C2" s="120" t="s">
        <v>91</v>
      </c>
      <c r="D2" s="121"/>
      <c r="F2" s="122">
        <f>A22+D22</f>
        <v>52.3</v>
      </c>
      <c r="G2" s="123"/>
      <c r="H2" s="124" t="s">
        <v>92</v>
      </c>
      <c r="I2" s="121"/>
    </row>
    <row r="3" spans="1:9" ht="12.75">
      <c r="A3" s="118"/>
      <c r="B3" s="119"/>
      <c r="C3" s="120" t="s">
        <v>93</v>
      </c>
      <c r="D3" s="121"/>
      <c r="F3" s="118"/>
      <c r="G3" s="123"/>
      <c r="H3" s="124" t="s">
        <v>94</v>
      </c>
      <c r="I3" s="121"/>
    </row>
    <row r="4" spans="1:9" ht="12.75">
      <c r="A4" s="118">
        <v>0</v>
      </c>
      <c r="B4" s="119" t="s">
        <v>95</v>
      </c>
      <c r="C4" s="125" t="s">
        <v>96</v>
      </c>
      <c r="D4" s="121">
        <v>0.1</v>
      </c>
      <c r="F4" s="118"/>
      <c r="G4" s="123"/>
      <c r="H4" s="126"/>
      <c r="I4" s="121"/>
    </row>
    <row r="5" spans="1:9" ht="12.75">
      <c r="A5" s="118">
        <f>A4+D4</f>
        <v>0.1</v>
      </c>
      <c r="B5" s="119" t="s">
        <v>95</v>
      </c>
      <c r="C5" s="125" t="s">
        <v>97</v>
      </c>
      <c r="D5" s="121">
        <v>0.1</v>
      </c>
      <c r="F5" s="118">
        <f>A22+D22</f>
        <v>52.3</v>
      </c>
      <c r="G5" s="123" t="s">
        <v>98</v>
      </c>
      <c r="H5" s="126" t="s">
        <v>99</v>
      </c>
      <c r="I5" s="121">
        <v>2.2</v>
      </c>
    </row>
    <row r="6" spans="1:9" ht="12.75">
      <c r="A6" s="118">
        <f>A5+D5</f>
        <v>0.2</v>
      </c>
      <c r="B6" s="119" t="s">
        <v>100</v>
      </c>
      <c r="C6" s="125" t="s">
        <v>101</v>
      </c>
      <c r="D6" s="121">
        <v>0.3</v>
      </c>
      <c r="F6" s="118">
        <f>F5+I5</f>
        <v>54.5</v>
      </c>
      <c r="G6" s="123" t="s">
        <v>95</v>
      </c>
      <c r="H6" s="126" t="s">
        <v>102</v>
      </c>
      <c r="I6" s="121">
        <v>0.9</v>
      </c>
    </row>
    <row r="7" spans="1:9" ht="12.75">
      <c r="A7" s="118">
        <f>A6+D6</f>
        <v>0.5</v>
      </c>
      <c r="B7" s="119" t="s">
        <v>98</v>
      </c>
      <c r="C7" s="125" t="s">
        <v>103</v>
      </c>
      <c r="D7" s="121">
        <v>5.2</v>
      </c>
      <c r="F7" s="118">
        <f>F6+I6</f>
        <v>55.4</v>
      </c>
      <c r="G7" s="123" t="s">
        <v>95</v>
      </c>
      <c r="H7" s="126" t="s">
        <v>104</v>
      </c>
      <c r="I7" s="121">
        <v>4.7</v>
      </c>
    </row>
    <row r="8" spans="1:9" ht="12.75">
      <c r="A8" s="118">
        <f>A7+D7</f>
        <v>5.7</v>
      </c>
      <c r="B8" s="119" t="s">
        <v>100</v>
      </c>
      <c r="C8" s="125" t="s">
        <v>105</v>
      </c>
      <c r="D8" s="121">
        <v>3.5</v>
      </c>
      <c r="F8" s="118">
        <f>F7+I7</f>
        <v>60.1</v>
      </c>
      <c r="G8" s="123" t="s">
        <v>95</v>
      </c>
      <c r="H8" s="126" t="s">
        <v>106</v>
      </c>
      <c r="I8" s="121">
        <v>9.1</v>
      </c>
    </row>
    <row r="9" spans="1:9" ht="12.75">
      <c r="A9" s="118">
        <f aca="true" t="shared" si="0" ref="A9:A22">A8+D8</f>
        <v>9.2</v>
      </c>
      <c r="B9" s="119" t="s">
        <v>100</v>
      </c>
      <c r="C9" s="125" t="s">
        <v>107</v>
      </c>
      <c r="D9" s="121">
        <v>0.2</v>
      </c>
      <c r="F9" s="118">
        <f>F8+I8</f>
        <v>69.2</v>
      </c>
      <c r="G9" s="123" t="s">
        <v>95</v>
      </c>
      <c r="H9" s="126" t="s">
        <v>108</v>
      </c>
      <c r="I9" s="121">
        <v>4.3</v>
      </c>
    </row>
    <row r="10" spans="1:9" ht="12.75">
      <c r="A10" s="118">
        <f t="shared" si="0"/>
        <v>9.399999999999999</v>
      </c>
      <c r="B10" s="119" t="s">
        <v>95</v>
      </c>
      <c r="C10" s="125" t="s">
        <v>109</v>
      </c>
      <c r="D10" s="121">
        <v>0.6</v>
      </c>
      <c r="F10" s="118">
        <f>F9+I9</f>
        <v>73.5</v>
      </c>
      <c r="G10" s="123" t="s">
        <v>100</v>
      </c>
      <c r="H10" s="126" t="s">
        <v>110</v>
      </c>
      <c r="I10" s="121">
        <v>7.2</v>
      </c>
    </row>
    <row r="11" spans="1:9" ht="12.75">
      <c r="A11" s="118">
        <f t="shared" si="0"/>
        <v>9.999999999999998</v>
      </c>
      <c r="B11" s="119" t="s">
        <v>98</v>
      </c>
      <c r="C11" s="125" t="s">
        <v>111</v>
      </c>
      <c r="D11" s="121">
        <v>4.6</v>
      </c>
      <c r="F11" s="118"/>
      <c r="G11" s="123"/>
      <c r="H11" s="126" t="s">
        <v>112</v>
      </c>
      <c r="I11" s="121"/>
    </row>
    <row r="12" spans="1:9" ht="12.75">
      <c r="A12" s="118">
        <f t="shared" si="0"/>
        <v>14.599999999999998</v>
      </c>
      <c r="B12" s="119" t="s">
        <v>100</v>
      </c>
      <c r="C12" s="125" t="s">
        <v>113</v>
      </c>
      <c r="D12" s="121">
        <v>2.7</v>
      </c>
      <c r="F12" s="118">
        <f>F10+I10</f>
        <v>80.7</v>
      </c>
      <c r="G12" s="123" t="s">
        <v>98</v>
      </c>
      <c r="H12" s="126" t="s">
        <v>114</v>
      </c>
      <c r="I12" s="121">
        <v>2.2</v>
      </c>
    </row>
    <row r="13" spans="1:9" ht="12.75">
      <c r="A13" s="118">
        <f t="shared" si="0"/>
        <v>17.299999999999997</v>
      </c>
      <c r="B13" s="119" t="s">
        <v>95</v>
      </c>
      <c r="C13" s="125" t="s">
        <v>115</v>
      </c>
      <c r="D13" s="121">
        <v>6.1</v>
      </c>
      <c r="F13" s="118">
        <f>F12+I12</f>
        <v>82.9</v>
      </c>
      <c r="G13" s="123" t="s">
        <v>100</v>
      </c>
      <c r="H13" s="126" t="s">
        <v>116</v>
      </c>
      <c r="I13" s="121">
        <v>0.9</v>
      </c>
    </row>
    <row r="14" spans="1:9" ht="12.75">
      <c r="A14" s="118">
        <f t="shared" si="0"/>
        <v>23.4</v>
      </c>
      <c r="B14" s="119" t="s">
        <v>100</v>
      </c>
      <c r="C14" s="125" t="s">
        <v>117</v>
      </c>
      <c r="D14" s="121">
        <v>5.1</v>
      </c>
      <c r="F14" s="118">
        <f>F13+I13</f>
        <v>83.80000000000001</v>
      </c>
      <c r="G14" s="123" t="s">
        <v>100</v>
      </c>
      <c r="H14" s="126" t="s">
        <v>118</v>
      </c>
      <c r="I14" s="121">
        <v>2</v>
      </c>
    </row>
    <row r="15" spans="1:9" ht="12.75">
      <c r="A15" s="118">
        <f t="shared" si="0"/>
        <v>28.5</v>
      </c>
      <c r="B15" s="119" t="s">
        <v>98</v>
      </c>
      <c r="C15" s="125" t="s">
        <v>119</v>
      </c>
      <c r="D15" s="121">
        <v>5.1</v>
      </c>
      <c r="F15" s="118"/>
      <c r="G15" s="123"/>
      <c r="H15" s="126" t="s">
        <v>112</v>
      </c>
      <c r="I15" s="121"/>
    </row>
    <row r="16" spans="1:9" ht="12.75">
      <c r="A16" s="118">
        <f t="shared" si="0"/>
        <v>33.6</v>
      </c>
      <c r="B16" s="119" t="s">
        <v>100</v>
      </c>
      <c r="C16" s="125" t="s">
        <v>120</v>
      </c>
      <c r="D16" s="121">
        <v>1.4</v>
      </c>
      <c r="F16" s="118">
        <f>F14+I14</f>
        <v>85.80000000000001</v>
      </c>
      <c r="G16" s="123" t="s">
        <v>98</v>
      </c>
      <c r="H16" s="126" t="s">
        <v>121</v>
      </c>
      <c r="I16" s="121">
        <v>7.4</v>
      </c>
    </row>
    <row r="17" spans="1:9" ht="12.75">
      <c r="A17" s="118">
        <f t="shared" si="0"/>
        <v>35</v>
      </c>
      <c r="B17" s="119" t="s">
        <v>95</v>
      </c>
      <c r="C17" s="125" t="s">
        <v>122</v>
      </c>
      <c r="D17" s="121">
        <v>4.6</v>
      </c>
      <c r="F17" s="118">
        <f>F16+I16</f>
        <v>93.20000000000002</v>
      </c>
      <c r="G17" s="123" t="s">
        <v>100</v>
      </c>
      <c r="H17" s="126" t="s">
        <v>123</v>
      </c>
      <c r="I17" s="121">
        <v>0.5</v>
      </c>
    </row>
    <row r="18" spans="1:9" ht="12.75">
      <c r="A18" s="118">
        <f t="shared" si="0"/>
        <v>39.6</v>
      </c>
      <c r="B18" s="119" t="s">
        <v>100</v>
      </c>
      <c r="C18" s="125" t="s">
        <v>124</v>
      </c>
      <c r="D18" s="121">
        <v>6.1</v>
      </c>
      <c r="F18" s="118">
        <f>F17+I17</f>
        <v>93.70000000000002</v>
      </c>
      <c r="G18" s="127" t="s">
        <v>100</v>
      </c>
      <c r="H18" s="128" t="s">
        <v>125</v>
      </c>
      <c r="I18" s="121">
        <v>3.4</v>
      </c>
    </row>
    <row r="19" spans="1:9" ht="12.75">
      <c r="A19" s="118">
        <f t="shared" si="0"/>
        <v>45.7</v>
      </c>
      <c r="B19" s="119" t="s">
        <v>95</v>
      </c>
      <c r="C19" s="125" t="s">
        <v>126</v>
      </c>
      <c r="D19" s="121">
        <v>0.5</v>
      </c>
      <c r="F19" s="118">
        <f>F18+I18</f>
        <v>97.10000000000002</v>
      </c>
      <c r="G19" s="123" t="s">
        <v>95</v>
      </c>
      <c r="H19" s="126" t="s">
        <v>127</v>
      </c>
      <c r="I19" s="121">
        <v>0</v>
      </c>
    </row>
    <row r="20" spans="1:9" ht="12.75">
      <c r="A20" s="118">
        <f t="shared" si="0"/>
        <v>46.2</v>
      </c>
      <c r="B20" s="119" t="s">
        <v>100</v>
      </c>
      <c r="C20" s="125" t="s">
        <v>128</v>
      </c>
      <c r="D20" s="121">
        <v>0.8</v>
      </c>
      <c r="F20" s="118"/>
      <c r="G20" s="123"/>
      <c r="H20" s="126"/>
      <c r="I20" s="121"/>
    </row>
    <row r="21" spans="1:9" ht="12.75">
      <c r="A21" s="118">
        <f t="shared" si="0"/>
        <v>47</v>
      </c>
      <c r="B21" s="119" t="s">
        <v>95</v>
      </c>
      <c r="C21" s="125" t="s">
        <v>129</v>
      </c>
      <c r="D21" s="121">
        <v>5.3</v>
      </c>
      <c r="F21" s="122">
        <f>F19+I19</f>
        <v>97.10000000000002</v>
      </c>
      <c r="G21" s="124" t="s">
        <v>100</v>
      </c>
      <c r="H21" s="124" t="s">
        <v>130</v>
      </c>
      <c r="I21" s="129"/>
    </row>
    <row r="22" spans="1:9" ht="12.75">
      <c r="A22" s="118">
        <f t="shared" si="0"/>
        <v>52.3</v>
      </c>
      <c r="B22" s="119" t="s">
        <v>100</v>
      </c>
      <c r="C22" s="125" t="s">
        <v>131</v>
      </c>
      <c r="D22" s="121">
        <v>0</v>
      </c>
      <c r="F22" s="122"/>
      <c r="G22" s="124"/>
      <c r="H22" s="124" t="s">
        <v>132</v>
      </c>
      <c r="I22" s="129"/>
    </row>
    <row r="23" spans="1:9" ht="12.75">
      <c r="A23" s="130"/>
      <c r="B23" s="131"/>
      <c r="C23" s="132"/>
      <c r="D23" s="133"/>
      <c r="F23" s="130"/>
      <c r="G23" s="134"/>
      <c r="H23" s="135"/>
      <c r="I23" s="133"/>
    </row>
    <row r="24" spans="1:9" ht="4.5" customHeight="1">
      <c r="A24" s="136"/>
      <c r="B24" s="137"/>
      <c r="C24" s="138"/>
      <c r="D24" s="136"/>
      <c r="F24" s="136"/>
      <c r="G24" s="137"/>
      <c r="H24" s="138"/>
      <c r="I24" s="136"/>
    </row>
    <row r="25" spans="1:9" ht="60.75">
      <c r="A25" s="114" t="s">
        <v>87</v>
      </c>
      <c r="B25" s="115" t="s">
        <v>88</v>
      </c>
      <c r="C25" s="116" t="s">
        <v>89</v>
      </c>
      <c r="D25" s="117" t="s">
        <v>90</v>
      </c>
      <c r="F25" s="114" t="s">
        <v>87</v>
      </c>
      <c r="G25" s="115" t="s">
        <v>88</v>
      </c>
      <c r="H25" s="116" t="s">
        <v>89</v>
      </c>
      <c r="I25" s="117" t="s">
        <v>90</v>
      </c>
    </row>
    <row r="26" spans="1:104" s="139" customFormat="1" ht="12.75">
      <c r="A26" s="118">
        <f>F21+I21</f>
        <v>97.10000000000002</v>
      </c>
      <c r="B26" s="123" t="s">
        <v>100</v>
      </c>
      <c r="C26" s="126" t="s">
        <v>133</v>
      </c>
      <c r="D26" s="121">
        <v>3.5</v>
      </c>
      <c r="E26"/>
      <c r="F26" s="118"/>
      <c r="G26" s="123" t="s">
        <v>134</v>
      </c>
      <c r="H26" s="126" t="s">
        <v>135</v>
      </c>
      <c r="I26" s="12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39" customFormat="1" ht="12.75">
      <c r="A27" s="118"/>
      <c r="B27" s="123"/>
      <c r="C27" s="126" t="s">
        <v>136</v>
      </c>
      <c r="D27" s="121"/>
      <c r="E27"/>
      <c r="F27" s="118">
        <f>A41+D41</f>
        <v>146.3</v>
      </c>
      <c r="G27" s="123" t="s">
        <v>98</v>
      </c>
      <c r="H27" s="126" t="s">
        <v>28</v>
      </c>
      <c r="I27" s="121">
        <v>13.8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39" customFormat="1" ht="12.75">
      <c r="A28" s="118">
        <f>A26+D26</f>
        <v>100.60000000000002</v>
      </c>
      <c r="B28" s="123" t="s">
        <v>98</v>
      </c>
      <c r="C28" s="126" t="s">
        <v>137</v>
      </c>
      <c r="D28" s="121">
        <v>0.7</v>
      </c>
      <c r="E28"/>
      <c r="F28" s="118">
        <f aca="true" t="shared" si="1" ref="F28:F33">F27+I27</f>
        <v>160.10000000000002</v>
      </c>
      <c r="G28" s="123" t="s">
        <v>100</v>
      </c>
      <c r="H28" s="126" t="s">
        <v>138</v>
      </c>
      <c r="I28" s="121">
        <v>25.7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39" customFormat="1" ht="12.75">
      <c r="A29" s="118">
        <f>A28+D28</f>
        <v>101.30000000000003</v>
      </c>
      <c r="B29" s="123" t="s">
        <v>100</v>
      </c>
      <c r="C29" s="126" t="s">
        <v>139</v>
      </c>
      <c r="D29" s="121">
        <v>1.4</v>
      </c>
      <c r="E29"/>
      <c r="F29" s="118">
        <f t="shared" si="1"/>
        <v>185.8</v>
      </c>
      <c r="G29" s="123" t="s">
        <v>100</v>
      </c>
      <c r="H29" s="126" t="s">
        <v>128</v>
      </c>
      <c r="I29" s="121">
        <v>6.9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39" customFormat="1" ht="12.75">
      <c r="A30" s="118">
        <f>A29+D29</f>
        <v>102.70000000000003</v>
      </c>
      <c r="B30" s="123" t="s">
        <v>100</v>
      </c>
      <c r="C30" s="126" t="s">
        <v>140</v>
      </c>
      <c r="D30" s="121">
        <v>4.9</v>
      </c>
      <c r="E30"/>
      <c r="F30" s="118">
        <f t="shared" si="1"/>
        <v>192.70000000000002</v>
      </c>
      <c r="G30" s="123" t="s">
        <v>95</v>
      </c>
      <c r="H30" s="126" t="s">
        <v>141</v>
      </c>
      <c r="I30" s="121">
        <v>0.6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39" customFormat="1" ht="12.75">
      <c r="A31" s="118">
        <f>A30+D30</f>
        <v>107.60000000000004</v>
      </c>
      <c r="B31" s="123" t="s">
        <v>95</v>
      </c>
      <c r="C31" s="126" t="s">
        <v>142</v>
      </c>
      <c r="D31" s="121">
        <v>1.6</v>
      </c>
      <c r="E31"/>
      <c r="F31" s="118">
        <f t="shared" si="1"/>
        <v>193.3</v>
      </c>
      <c r="G31" s="123" t="s">
        <v>100</v>
      </c>
      <c r="H31" s="126" t="s">
        <v>101</v>
      </c>
      <c r="I31" s="121">
        <v>7.1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39" customFormat="1" ht="12.75">
      <c r="A32" s="118">
        <f>A31+D31</f>
        <v>109.20000000000003</v>
      </c>
      <c r="B32" s="123" t="s">
        <v>100</v>
      </c>
      <c r="C32" s="126" t="s">
        <v>143</v>
      </c>
      <c r="D32" s="121">
        <v>15</v>
      </c>
      <c r="E32"/>
      <c r="F32" s="118">
        <f t="shared" si="1"/>
        <v>200.4</v>
      </c>
      <c r="G32" s="123" t="s">
        <v>95</v>
      </c>
      <c r="H32" s="126" t="s">
        <v>144</v>
      </c>
      <c r="I32" s="121">
        <v>0.1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39" customFormat="1" ht="12.75">
      <c r="A33" s="118"/>
      <c r="B33" s="123"/>
      <c r="C33" s="126" t="s">
        <v>145</v>
      </c>
      <c r="D33" s="121"/>
      <c r="E33"/>
      <c r="F33" s="118">
        <f t="shared" si="1"/>
        <v>200.5</v>
      </c>
      <c r="G33" s="123" t="s">
        <v>100</v>
      </c>
      <c r="H33" s="126" t="s">
        <v>146</v>
      </c>
      <c r="I33" s="121">
        <v>0.1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39" customFormat="1" ht="12.75">
      <c r="A34" s="118">
        <f>A32+D32</f>
        <v>124.20000000000003</v>
      </c>
      <c r="B34" s="123" t="s">
        <v>98</v>
      </c>
      <c r="C34" s="126" t="s">
        <v>147</v>
      </c>
      <c r="D34" s="121">
        <v>5.9</v>
      </c>
      <c r="E34"/>
      <c r="F34" s="118"/>
      <c r="G34" s="123"/>
      <c r="H34" s="126"/>
      <c r="I34" s="12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39" customFormat="1" ht="12.75">
      <c r="A35" s="118">
        <f>A34+D34</f>
        <v>130.10000000000002</v>
      </c>
      <c r="B35" s="123" t="s">
        <v>100</v>
      </c>
      <c r="C35" s="126" t="s">
        <v>148</v>
      </c>
      <c r="D35" s="121">
        <v>1.5</v>
      </c>
      <c r="E35"/>
      <c r="F35" s="122">
        <f>F33+I33</f>
        <v>200.6</v>
      </c>
      <c r="G35" s="124"/>
      <c r="H35" s="124" t="s">
        <v>149</v>
      </c>
      <c r="I35" s="12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39" customFormat="1" ht="12.75">
      <c r="A36" s="118">
        <f>A35+D35</f>
        <v>131.60000000000002</v>
      </c>
      <c r="B36" s="123" t="s">
        <v>100</v>
      </c>
      <c r="C36" s="126" t="s">
        <v>150</v>
      </c>
      <c r="D36" s="121">
        <v>0.6</v>
      </c>
      <c r="E36"/>
      <c r="F36" s="118"/>
      <c r="G36" s="124"/>
      <c r="H36" s="124" t="s">
        <v>151</v>
      </c>
      <c r="I36" s="12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39" customFormat="1" ht="12.75">
      <c r="A37" s="118">
        <f>A36+D36</f>
        <v>132.20000000000002</v>
      </c>
      <c r="B37" s="123" t="s">
        <v>95</v>
      </c>
      <c r="C37" s="126" t="s">
        <v>152</v>
      </c>
      <c r="D37" s="121">
        <v>3.2</v>
      </c>
      <c r="E37"/>
      <c r="F37" s="118"/>
      <c r="G37" s="124"/>
      <c r="H37" s="124"/>
      <c r="I37" s="12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39" customFormat="1" ht="12.75">
      <c r="A38" s="118">
        <f>A37+D37</f>
        <v>135.4</v>
      </c>
      <c r="B38" s="123" t="s">
        <v>100</v>
      </c>
      <c r="C38" s="126" t="s">
        <v>153</v>
      </c>
      <c r="D38" s="121">
        <v>3.4</v>
      </c>
      <c r="E38"/>
      <c r="F38" s="118"/>
      <c r="G38" s="124"/>
      <c r="H38" s="124"/>
      <c r="I38" s="12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39" customFormat="1" ht="12.75">
      <c r="A39" s="118">
        <f>A38+D38</f>
        <v>138.8</v>
      </c>
      <c r="B39" s="123" t="s">
        <v>100</v>
      </c>
      <c r="C39" s="126" t="s">
        <v>154</v>
      </c>
      <c r="D39" s="121">
        <v>7.5</v>
      </c>
      <c r="E39"/>
      <c r="F39" s="118"/>
      <c r="G39" s="124"/>
      <c r="H39" s="124"/>
      <c r="I39" s="12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39" customFormat="1" ht="12.75">
      <c r="A40" s="118"/>
      <c r="B40" s="123"/>
      <c r="C40" s="126"/>
      <c r="D40" s="121"/>
      <c r="E40"/>
      <c r="F40" s="118"/>
      <c r="G40" s="123"/>
      <c r="H40" s="126"/>
      <c r="I40" s="12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39" customFormat="1" ht="12.75">
      <c r="A41" s="122">
        <f>A39+D39</f>
        <v>146.3</v>
      </c>
      <c r="B41" s="124" t="s">
        <v>100</v>
      </c>
      <c r="C41" s="124" t="s">
        <v>155</v>
      </c>
      <c r="D41" s="129">
        <v>0</v>
      </c>
      <c r="E41"/>
      <c r="F41" s="118"/>
      <c r="G41" s="123"/>
      <c r="H41" s="126"/>
      <c r="I41" s="12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39" customFormat="1" ht="12.75">
      <c r="A42" s="122"/>
      <c r="B42" s="124"/>
      <c r="C42" s="124" t="s">
        <v>156</v>
      </c>
      <c r="D42" s="129"/>
      <c r="E42"/>
      <c r="F42" s="118"/>
      <c r="G42" s="123"/>
      <c r="H42" s="126"/>
      <c r="I42" s="12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39" customFormat="1" ht="12.75">
      <c r="A43" s="118"/>
      <c r="B43" s="123"/>
      <c r="C43" s="126"/>
      <c r="D43" s="121"/>
      <c r="E43"/>
      <c r="F43" s="118"/>
      <c r="G43" s="123"/>
      <c r="H43" s="126"/>
      <c r="I43" s="12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39" customFormat="1" ht="12.75">
      <c r="A44" s="118"/>
      <c r="B44" s="123"/>
      <c r="C44" s="126"/>
      <c r="D44" s="121"/>
      <c r="E44"/>
      <c r="F44" s="118"/>
      <c r="G44" s="123"/>
      <c r="H44" s="126"/>
      <c r="I44" s="12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39" customFormat="1" ht="12.75">
      <c r="A45" s="118"/>
      <c r="B45" s="123"/>
      <c r="C45" s="126"/>
      <c r="D45" s="121"/>
      <c r="E45"/>
      <c r="F45" s="118"/>
      <c r="G45" s="123"/>
      <c r="H45" s="126"/>
      <c r="I45" s="12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39" customFormat="1" ht="12.75">
      <c r="A46" s="118"/>
      <c r="B46" s="123"/>
      <c r="C46" s="126"/>
      <c r="D46" s="121"/>
      <c r="E46"/>
      <c r="F46" s="118"/>
      <c r="G46" s="123"/>
      <c r="H46" s="140" t="s">
        <v>157</v>
      </c>
      <c r="I46" s="12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30"/>
      <c r="B47" s="134"/>
      <c r="C47" s="135"/>
      <c r="D47" s="133"/>
      <c r="F47" s="130"/>
      <c r="G47" s="134"/>
      <c r="H47" s="135"/>
      <c r="I47" s="133"/>
    </row>
  </sheetData>
  <sheetProtection selectLockedCells="1" selectUnlockedCells="1"/>
  <printOptions horizontalCentered="1" verticalCentered="1"/>
  <pageMargins left="0.5513888888888889" right="0.5513888888888889" top="0.35416666666666663" bottom="0.35416666666666663" header="0.2361111111111111" footer="0.2361111111111111"/>
  <pageSetup horizontalDpi="300" verticalDpi="300" orientation="portrait"/>
  <headerFooter alignWithMargins="0">
    <oddHeader>&amp;L&amp;8&amp;A&amp;C&amp;"Arial,Bold"Island 200 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Mondiaux&amp;R&amp;8cel:246 0238
home:245 4751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C14" sqref="C14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</cols>
  <sheetData>
    <row r="1" spans="1:4" ht="60.75">
      <c r="A1" s="114" t="s">
        <v>87</v>
      </c>
      <c r="B1" s="115" t="s">
        <v>88</v>
      </c>
      <c r="C1" s="116" t="s">
        <v>89</v>
      </c>
      <c r="D1" s="117" t="s">
        <v>90</v>
      </c>
    </row>
    <row r="2" spans="1:5" ht="12.75">
      <c r="A2" s="118"/>
      <c r="B2" s="119"/>
      <c r="C2" s="120" t="s">
        <v>158</v>
      </c>
      <c r="D2" s="121"/>
      <c r="E2" s="1" t="s">
        <v>159</v>
      </c>
    </row>
    <row r="3" spans="1:5" ht="12.75">
      <c r="A3" s="118"/>
      <c r="B3" s="119"/>
      <c r="C3" s="120" t="s">
        <v>160</v>
      </c>
      <c r="D3" s="121"/>
      <c r="E3" s="1" t="s">
        <v>161</v>
      </c>
    </row>
    <row r="4" spans="1:5" ht="12.75">
      <c r="A4" s="118">
        <v>0</v>
      </c>
      <c r="B4" s="119" t="s">
        <v>100</v>
      </c>
      <c r="C4" s="125" t="s">
        <v>96</v>
      </c>
      <c r="D4" s="121">
        <v>0.2</v>
      </c>
      <c r="E4" s="1" t="s">
        <v>162</v>
      </c>
    </row>
    <row r="5" spans="1:4" ht="12.75">
      <c r="A5" s="118">
        <f>A4+D4</f>
        <v>0.2</v>
      </c>
      <c r="B5" s="119" t="s">
        <v>95</v>
      </c>
      <c r="C5" s="125" t="s">
        <v>97</v>
      </c>
      <c r="D5" s="121">
        <v>0.1</v>
      </c>
    </row>
    <row r="6" spans="1:5" ht="12.75">
      <c r="A6" s="118">
        <f aca="true" t="shared" si="0" ref="A6:A21">A5+D5</f>
        <v>0.30000000000000004</v>
      </c>
      <c r="B6" s="119" t="s">
        <v>100</v>
      </c>
      <c r="C6" s="125" t="s">
        <v>101</v>
      </c>
      <c r="D6" s="121">
        <v>5.5</v>
      </c>
      <c r="E6" s="1" t="s">
        <v>163</v>
      </c>
    </row>
    <row r="7" spans="1:5" ht="12.75">
      <c r="A7" s="118">
        <f t="shared" si="0"/>
        <v>5.8</v>
      </c>
      <c r="B7" s="119" t="s">
        <v>100</v>
      </c>
      <c r="C7" s="125" t="s">
        <v>105</v>
      </c>
      <c r="D7" s="121">
        <v>3.5</v>
      </c>
      <c r="E7" s="1" t="s">
        <v>164</v>
      </c>
    </row>
    <row r="8" spans="1:5" ht="12.75">
      <c r="A8" s="118">
        <f t="shared" si="0"/>
        <v>9.3</v>
      </c>
      <c r="B8" s="119" t="s">
        <v>100</v>
      </c>
      <c r="C8" s="125" t="s">
        <v>107</v>
      </c>
      <c r="D8" s="121">
        <v>0.2</v>
      </c>
      <c r="E8" s="1" t="s">
        <v>165</v>
      </c>
    </row>
    <row r="9" spans="1:5" ht="12.75">
      <c r="A9" s="118">
        <f t="shared" si="0"/>
        <v>9.5</v>
      </c>
      <c r="B9" s="119" t="s">
        <v>95</v>
      </c>
      <c r="C9" s="125" t="s">
        <v>166</v>
      </c>
      <c r="D9" s="121">
        <v>0.2</v>
      </c>
      <c r="E9" s="1" t="s">
        <v>167</v>
      </c>
    </row>
    <row r="10" spans="1:5" ht="12.75">
      <c r="A10" s="118">
        <f t="shared" si="0"/>
        <v>9.7</v>
      </c>
      <c r="B10" s="119" t="s">
        <v>98</v>
      </c>
      <c r="C10" s="125" t="s">
        <v>111</v>
      </c>
      <c r="D10" s="121">
        <v>5</v>
      </c>
      <c r="E10"/>
    </row>
    <row r="11" spans="1:4" ht="12.75">
      <c r="A11" s="118">
        <f t="shared" si="0"/>
        <v>14.7</v>
      </c>
      <c r="B11" s="119" t="s">
        <v>100</v>
      </c>
      <c r="C11" s="125" t="s">
        <v>113</v>
      </c>
      <c r="D11" s="121">
        <v>2.7</v>
      </c>
    </row>
    <row r="12" spans="1:4" ht="12.75">
      <c r="A12" s="118">
        <f t="shared" si="0"/>
        <v>17.4</v>
      </c>
      <c r="B12" s="119" t="s">
        <v>95</v>
      </c>
      <c r="C12" s="125" t="s">
        <v>115</v>
      </c>
      <c r="D12" s="121">
        <v>6.1</v>
      </c>
    </row>
    <row r="13" spans="1:4" ht="12.75">
      <c r="A13" s="118">
        <f t="shared" si="0"/>
        <v>23.5</v>
      </c>
      <c r="B13" s="119" t="s">
        <v>100</v>
      </c>
      <c r="C13" s="125" t="s">
        <v>117</v>
      </c>
      <c r="D13" s="121">
        <v>5.1</v>
      </c>
    </row>
    <row r="14" spans="1:4" ht="12.75">
      <c r="A14" s="118">
        <f t="shared" si="0"/>
        <v>28.6</v>
      </c>
      <c r="B14" s="119" t="s">
        <v>98</v>
      </c>
      <c r="C14" s="125" t="s">
        <v>119</v>
      </c>
      <c r="D14" s="121">
        <v>5.1</v>
      </c>
    </row>
    <row r="15" spans="1:4" ht="12.75">
      <c r="A15" s="118">
        <f t="shared" si="0"/>
        <v>33.7</v>
      </c>
      <c r="B15" s="119" t="s">
        <v>100</v>
      </c>
      <c r="C15" s="125" t="s">
        <v>120</v>
      </c>
      <c r="D15" s="121">
        <v>1.4</v>
      </c>
    </row>
    <row r="16" spans="1:4" ht="12.75">
      <c r="A16" s="118">
        <f t="shared" si="0"/>
        <v>35.1</v>
      </c>
      <c r="B16" s="119" t="s">
        <v>95</v>
      </c>
      <c r="C16" s="125" t="s">
        <v>122</v>
      </c>
      <c r="D16" s="121">
        <v>4.6</v>
      </c>
    </row>
    <row r="17" spans="1:4" ht="12.75">
      <c r="A17" s="118">
        <f t="shared" si="0"/>
        <v>39.7</v>
      </c>
      <c r="B17" s="119" t="s">
        <v>100</v>
      </c>
      <c r="C17" s="125" t="s">
        <v>124</v>
      </c>
      <c r="D17" s="121">
        <v>6.1</v>
      </c>
    </row>
    <row r="18" spans="1:4" ht="12.75">
      <c r="A18" s="118">
        <f t="shared" si="0"/>
        <v>45.800000000000004</v>
      </c>
      <c r="B18" s="119" t="s">
        <v>95</v>
      </c>
      <c r="C18" s="125" t="s">
        <v>126</v>
      </c>
      <c r="D18" s="121">
        <v>0.5</v>
      </c>
    </row>
    <row r="19" spans="1:4" ht="12.75">
      <c r="A19" s="118">
        <f t="shared" si="0"/>
        <v>46.300000000000004</v>
      </c>
      <c r="B19" s="119" t="s">
        <v>100</v>
      </c>
      <c r="C19" s="125" t="s">
        <v>128</v>
      </c>
      <c r="D19" s="121">
        <v>0.8</v>
      </c>
    </row>
    <row r="20" spans="1:4" ht="12.75">
      <c r="A20" s="118">
        <f t="shared" si="0"/>
        <v>47.1</v>
      </c>
      <c r="B20" s="119" t="s">
        <v>95</v>
      </c>
      <c r="C20" s="125" t="s">
        <v>129</v>
      </c>
      <c r="D20" s="121">
        <v>5.3</v>
      </c>
    </row>
    <row r="21" spans="1:4" ht="12.75">
      <c r="A21" s="118">
        <f t="shared" si="0"/>
        <v>52.4</v>
      </c>
      <c r="B21" s="119" t="s">
        <v>100</v>
      </c>
      <c r="C21" s="125" t="s">
        <v>131</v>
      </c>
      <c r="D21" s="121">
        <v>0</v>
      </c>
    </row>
    <row r="22" spans="1:5" ht="12.75">
      <c r="A22" s="118"/>
      <c r="B22" s="119"/>
      <c r="C22" s="120" t="s">
        <v>92</v>
      </c>
      <c r="D22" s="121"/>
      <c r="E22" s="1" t="s">
        <v>168</v>
      </c>
    </row>
    <row r="23" spans="1:4" ht="12.75">
      <c r="A23" s="130"/>
      <c r="B23" s="131"/>
      <c r="C23" s="132" t="s">
        <v>94</v>
      </c>
      <c r="D23" s="133"/>
    </row>
    <row r="24" spans="1:4" ht="60.75">
      <c r="A24" s="114" t="s">
        <v>87</v>
      </c>
      <c r="B24" s="115" t="s">
        <v>88</v>
      </c>
      <c r="C24" s="116" t="s">
        <v>89</v>
      </c>
      <c r="D24" s="117" t="s">
        <v>90</v>
      </c>
    </row>
    <row r="25" spans="1:4" ht="12.75">
      <c r="A25" s="118">
        <f>A20+D20</f>
        <v>52.4</v>
      </c>
      <c r="B25" s="123" t="s">
        <v>98</v>
      </c>
      <c r="C25" s="126" t="s">
        <v>99</v>
      </c>
      <c r="D25" s="121">
        <v>2.2</v>
      </c>
    </row>
    <row r="26" spans="1:4" ht="12.75">
      <c r="A26" s="118">
        <f>A25+D25</f>
        <v>54.6</v>
      </c>
      <c r="B26" s="123" t="s">
        <v>95</v>
      </c>
      <c r="C26" s="126" t="s">
        <v>102</v>
      </c>
      <c r="D26" s="121">
        <v>0.9</v>
      </c>
    </row>
    <row r="27" spans="1:4" ht="12.75">
      <c r="A27" s="118">
        <f>A26+D26</f>
        <v>55.5</v>
      </c>
      <c r="B27" s="123" t="s">
        <v>95</v>
      </c>
      <c r="C27" s="126" t="s">
        <v>104</v>
      </c>
      <c r="D27" s="121">
        <v>4.7</v>
      </c>
    </row>
    <row r="28" spans="1:4" ht="12.75">
      <c r="A28" s="118">
        <f>A27+D27</f>
        <v>60.2</v>
      </c>
      <c r="B28" s="123" t="s">
        <v>95</v>
      </c>
      <c r="C28" s="126" t="s">
        <v>106</v>
      </c>
      <c r="D28" s="121">
        <v>9</v>
      </c>
    </row>
    <row r="29" spans="1:4" ht="12.75">
      <c r="A29" s="118">
        <f>A28+D28</f>
        <v>69.2</v>
      </c>
      <c r="B29" s="123" t="s">
        <v>95</v>
      </c>
      <c r="C29" s="126" t="s">
        <v>108</v>
      </c>
      <c r="D29" s="121">
        <v>4.3</v>
      </c>
    </row>
    <row r="30" spans="1:4" ht="12.75">
      <c r="A30" s="118">
        <f>A29+D29</f>
        <v>73.5</v>
      </c>
      <c r="B30" s="123" t="s">
        <v>100</v>
      </c>
      <c r="C30" s="126" t="s">
        <v>110</v>
      </c>
      <c r="D30" s="121">
        <v>7</v>
      </c>
    </row>
    <row r="31" spans="1:4" ht="12.75">
      <c r="A31" s="118"/>
      <c r="B31" s="123"/>
      <c r="C31" s="126" t="s">
        <v>112</v>
      </c>
      <c r="D31" s="121"/>
    </row>
    <row r="32" spans="1:4" ht="12.75">
      <c r="A32" s="118">
        <f>A30+D30</f>
        <v>80.5</v>
      </c>
      <c r="B32" s="123" t="s">
        <v>98</v>
      </c>
      <c r="C32" s="126" t="s">
        <v>114</v>
      </c>
      <c r="D32" s="121">
        <v>2.2</v>
      </c>
    </row>
    <row r="33" spans="1:4" ht="12.75">
      <c r="A33" s="118">
        <f>A32+D32</f>
        <v>82.7</v>
      </c>
      <c r="B33" s="123" t="s">
        <v>100</v>
      </c>
      <c r="C33" s="126" t="s">
        <v>116</v>
      </c>
      <c r="D33" s="121">
        <v>0.9</v>
      </c>
    </row>
    <row r="34" spans="1:4" ht="12.75">
      <c r="A34" s="118">
        <f>A33+D33</f>
        <v>83.60000000000001</v>
      </c>
      <c r="B34" s="123" t="s">
        <v>100</v>
      </c>
      <c r="C34" s="126" t="s">
        <v>118</v>
      </c>
      <c r="D34" s="121">
        <v>1.9</v>
      </c>
    </row>
    <row r="35" spans="1:4" ht="12.75">
      <c r="A35" s="118"/>
      <c r="B35" s="123"/>
      <c r="C35" s="126" t="s">
        <v>112</v>
      </c>
      <c r="D35" s="121"/>
    </row>
    <row r="36" spans="1:4" ht="12.75">
      <c r="A36" s="118">
        <f>A34+D34</f>
        <v>85.50000000000001</v>
      </c>
      <c r="B36" s="123" t="s">
        <v>98</v>
      </c>
      <c r="C36" s="126" t="s">
        <v>121</v>
      </c>
      <c r="D36" s="121">
        <v>7.4</v>
      </c>
    </row>
    <row r="37" spans="1:4" ht="12.75">
      <c r="A37" s="118">
        <f>A36+D36</f>
        <v>92.90000000000002</v>
      </c>
      <c r="B37" s="123" t="s">
        <v>100</v>
      </c>
      <c r="C37" s="126" t="s">
        <v>123</v>
      </c>
      <c r="D37" s="121">
        <v>0.5</v>
      </c>
    </row>
    <row r="38" spans="1:4" ht="12.75">
      <c r="A38" s="118">
        <f>A37+D37</f>
        <v>93.40000000000002</v>
      </c>
      <c r="B38" s="127" t="s">
        <v>100</v>
      </c>
      <c r="C38" s="128" t="s">
        <v>125</v>
      </c>
      <c r="D38" s="121">
        <v>3.4</v>
      </c>
    </row>
    <row r="39" spans="1:4" ht="12.75">
      <c r="A39" s="118">
        <f>A38+D38</f>
        <v>96.80000000000003</v>
      </c>
      <c r="B39" s="123" t="s">
        <v>95</v>
      </c>
      <c r="C39" s="126" t="s">
        <v>127</v>
      </c>
      <c r="D39" s="121">
        <v>0</v>
      </c>
    </row>
    <row r="40" spans="1:4" ht="12.75">
      <c r="A40" s="118"/>
      <c r="B40" s="123"/>
      <c r="C40" s="126"/>
      <c r="D40" s="121"/>
    </row>
    <row r="41" spans="1:5" ht="12.75">
      <c r="A41" s="122"/>
      <c r="B41" s="124" t="s">
        <v>100</v>
      </c>
      <c r="C41" s="124" t="s">
        <v>130</v>
      </c>
      <c r="D41" s="129"/>
      <c r="E41" s="1" t="s">
        <v>168</v>
      </c>
    </row>
    <row r="42" spans="1:4" ht="12.75">
      <c r="A42" s="122"/>
      <c r="B42" s="124"/>
      <c r="C42" s="124" t="s">
        <v>132</v>
      </c>
      <c r="D42" s="129"/>
    </row>
    <row r="43" spans="1:4" ht="12.75">
      <c r="A43" s="118"/>
      <c r="B43" s="123"/>
      <c r="C43" s="126"/>
      <c r="D43" s="121"/>
    </row>
    <row r="44" spans="1:4" ht="12.75">
      <c r="A44" s="118"/>
      <c r="B44" s="123"/>
      <c r="C44" s="126"/>
      <c r="D44" s="121"/>
    </row>
    <row r="45" spans="1:4" ht="12.75">
      <c r="A45" s="118"/>
      <c r="B45" s="123"/>
      <c r="C45" s="126"/>
      <c r="D45" s="121"/>
    </row>
    <row r="46" spans="1:4" ht="12.75">
      <c r="A46" s="130"/>
      <c r="B46" s="134"/>
      <c r="C46" s="135"/>
      <c r="D46" s="133"/>
    </row>
    <row r="47" spans="1:4" ht="60.75">
      <c r="A47" s="114" t="s">
        <v>87</v>
      </c>
      <c r="B47" s="115" t="s">
        <v>88</v>
      </c>
      <c r="C47" s="116" t="s">
        <v>89</v>
      </c>
      <c r="D47" s="117" t="s">
        <v>90</v>
      </c>
    </row>
    <row r="48" spans="1:4" ht="12.75">
      <c r="A48" s="118">
        <f>A39+D39</f>
        <v>96.80000000000003</v>
      </c>
      <c r="B48" s="123" t="s">
        <v>100</v>
      </c>
      <c r="C48" s="126" t="s">
        <v>133</v>
      </c>
      <c r="D48" s="121">
        <v>3.5</v>
      </c>
    </row>
    <row r="49" spans="1:5" ht="12.75">
      <c r="A49" s="118"/>
      <c r="B49" s="123"/>
      <c r="C49" s="126" t="s">
        <v>136</v>
      </c>
      <c r="D49" s="121"/>
      <c r="E49" s="1" t="s">
        <v>168</v>
      </c>
    </row>
    <row r="50" spans="1:4" ht="12.75">
      <c r="A50" s="118">
        <f>A48+D48</f>
        <v>100.30000000000003</v>
      </c>
      <c r="B50" s="123" t="s">
        <v>98</v>
      </c>
      <c r="C50" s="126" t="s">
        <v>137</v>
      </c>
      <c r="D50" s="121">
        <v>0.7</v>
      </c>
    </row>
    <row r="51" spans="1:4" ht="12.75">
      <c r="A51" s="118">
        <f>A50+D50</f>
        <v>101.00000000000003</v>
      </c>
      <c r="B51" s="123" t="s">
        <v>100</v>
      </c>
      <c r="C51" s="126" t="s">
        <v>139</v>
      </c>
      <c r="D51" s="121">
        <v>1.4</v>
      </c>
    </row>
    <row r="52" spans="1:4" ht="12.75">
      <c r="A52" s="118">
        <f>A51+D51</f>
        <v>102.40000000000003</v>
      </c>
      <c r="B52" s="123" t="s">
        <v>100</v>
      </c>
      <c r="C52" s="126" t="s">
        <v>140</v>
      </c>
      <c r="D52" s="121">
        <v>4.9</v>
      </c>
    </row>
    <row r="53" spans="1:4" ht="12.75">
      <c r="A53" s="118">
        <f>A52+D52</f>
        <v>107.30000000000004</v>
      </c>
      <c r="B53" s="123" t="s">
        <v>95</v>
      </c>
      <c r="C53" s="126" t="s">
        <v>142</v>
      </c>
      <c r="D53" s="121">
        <v>1.6</v>
      </c>
    </row>
    <row r="54" spans="1:4" ht="12.75">
      <c r="A54" s="118">
        <f>A53+D53</f>
        <v>108.90000000000003</v>
      </c>
      <c r="B54" s="123" t="s">
        <v>100</v>
      </c>
      <c r="C54" s="126" t="s">
        <v>143</v>
      </c>
      <c r="D54" s="121">
        <v>14.9</v>
      </c>
    </row>
    <row r="55" spans="1:4" ht="12.75">
      <c r="A55" s="118"/>
      <c r="B55" s="123"/>
      <c r="C55" s="126" t="s">
        <v>145</v>
      </c>
      <c r="D55" s="121"/>
    </row>
    <row r="56" spans="1:4" ht="12.75">
      <c r="A56" s="118">
        <f>A54+D54</f>
        <v>123.80000000000004</v>
      </c>
      <c r="B56" s="123" t="s">
        <v>98</v>
      </c>
      <c r="C56" s="126" t="s">
        <v>147</v>
      </c>
      <c r="D56" s="121">
        <v>5.9</v>
      </c>
    </row>
    <row r="57" spans="1:4" ht="12.75">
      <c r="A57" s="118">
        <f>A56+D56</f>
        <v>129.70000000000005</v>
      </c>
      <c r="B57" s="123" t="s">
        <v>100</v>
      </c>
      <c r="C57" s="126" t="s">
        <v>148</v>
      </c>
      <c r="D57" s="121">
        <v>1.7</v>
      </c>
    </row>
    <row r="58" spans="1:4" ht="12.75">
      <c r="A58" s="118">
        <f>A57+D57</f>
        <v>131.40000000000003</v>
      </c>
      <c r="B58" s="123" t="s">
        <v>100</v>
      </c>
      <c r="C58" s="126" t="s">
        <v>169</v>
      </c>
      <c r="D58" s="121">
        <v>0.4</v>
      </c>
    </row>
    <row r="59" spans="1:4" ht="12.75">
      <c r="A59" s="118">
        <f>A58+D58</f>
        <v>131.80000000000004</v>
      </c>
      <c r="B59" s="123" t="s">
        <v>95</v>
      </c>
      <c r="C59" s="126" t="s">
        <v>152</v>
      </c>
      <c r="D59" s="121">
        <v>3.2</v>
      </c>
    </row>
    <row r="60" spans="1:4" ht="12.75">
      <c r="A60" s="118">
        <f>A59+D59</f>
        <v>135.00000000000003</v>
      </c>
      <c r="B60" s="123" t="s">
        <v>100</v>
      </c>
      <c r="C60" s="126" t="s">
        <v>153</v>
      </c>
      <c r="D60" s="121">
        <v>3.4</v>
      </c>
    </row>
    <row r="61" spans="1:4" ht="12.75">
      <c r="A61" s="118">
        <f>A60+D60</f>
        <v>138.40000000000003</v>
      </c>
      <c r="B61" s="123" t="s">
        <v>100</v>
      </c>
      <c r="C61" s="126" t="s">
        <v>170</v>
      </c>
      <c r="D61" s="121">
        <v>8</v>
      </c>
    </row>
    <row r="62" spans="1:4" ht="12.75">
      <c r="A62" s="118"/>
      <c r="B62" s="123"/>
      <c r="C62" s="126"/>
      <c r="D62" s="121"/>
    </row>
    <row r="63" spans="1:5" ht="12.75">
      <c r="A63" s="122">
        <f>A61+D61</f>
        <v>146.40000000000003</v>
      </c>
      <c r="B63" s="124" t="s">
        <v>100</v>
      </c>
      <c r="C63" s="124" t="s">
        <v>155</v>
      </c>
      <c r="D63" s="129">
        <v>0</v>
      </c>
      <c r="E63" s="1" t="s">
        <v>168</v>
      </c>
    </row>
    <row r="64" spans="1:4" ht="12.75">
      <c r="A64" s="122"/>
      <c r="B64" s="124"/>
      <c r="C64" s="124" t="s">
        <v>156</v>
      </c>
      <c r="D64" s="129"/>
    </row>
    <row r="65" spans="1:4" ht="12.75">
      <c r="A65" s="118"/>
      <c r="B65" s="123"/>
      <c r="C65" s="126"/>
      <c r="D65" s="121"/>
    </row>
    <row r="66" spans="1:4" ht="12.75">
      <c r="A66" s="118"/>
      <c r="B66" s="123"/>
      <c r="C66" s="126"/>
      <c r="D66" s="121"/>
    </row>
    <row r="67" spans="1:4" ht="12.75">
      <c r="A67" s="118"/>
      <c r="B67" s="123"/>
      <c r="C67" s="126"/>
      <c r="D67" s="121"/>
    </row>
    <row r="68" spans="1:4" ht="12.75">
      <c r="A68" s="118"/>
      <c r="B68" s="123"/>
      <c r="C68" s="126"/>
      <c r="D68" s="121"/>
    </row>
    <row r="69" spans="1:4" ht="12.75">
      <c r="A69" s="130"/>
      <c r="B69" s="134"/>
      <c r="C69" s="135"/>
      <c r="D69" s="133"/>
    </row>
    <row r="70" spans="1:4" ht="60.75">
      <c r="A70" s="114" t="s">
        <v>87</v>
      </c>
      <c r="B70" s="115" t="s">
        <v>88</v>
      </c>
      <c r="C70" s="116" t="s">
        <v>89</v>
      </c>
      <c r="D70" s="117" t="s">
        <v>90</v>
      </c>
    </row>
    <row r="71" spans="1:4" ht="12.75">
      <c r="A71" s="118"/>
      <c r="B71" s="123" t="s">
        <v>134</v>
      </c>
      <c r="C71" s="126" t="s">
        <v>135</v>
      </c>
      <c r="D71" s="121"/>
    </row>
    <row r="72" spans="1:4" ht="12.75">
      <c r="A72" s="118">
        <f>A63+D63</f>
        <v>146.40000000000003</v>
      </c>
      <c r="B72" s="123" t="s">
        <v>98</v>
      </c>
      <c r="C72" s="126" t="s">
        <v>171</v>
      </c>
      <c r="D72" s="121">
        <v>14.2</v>
      </c>
    </row>
    <row r="73" spans="1:4" ht="12.75">
      <c r="A73" s="118">
        <f>A72+D72</f>
        <v>160.60000000000002</v>
      </c>
      <c r="B73" s="123" t="s">
        <v>100</v>
      </c>
      <c r="C73" s="126" t="s">
        <v>172</v>
      </c>
      <c r="D73" s="121">
        <v>21.5</v>
      </c>
    </row>
    <row r="74" spans="1:4" ht="12.75">
      <c r="A74" s="118">
        <f>A73+D73</f>
        <v>182.10000000000002</v>
      </c>
      <c r="B74" s="123" t="s">
        <v>95</v>
      </c>
      <c r="C74" s="141" t="s">
        <v>173</v>
      </c>
      <c r="D74" s="121">
        <v>1</v>
      </c>
    </row>
    <row r="75" spans="1:4" ht="12.75">
      <c r="A75" s="118">
        <f>A74+D74</f>
        <v>183.10000000000002</v>
      </c>
      <c r="B75" s="123" t="s">
        <v>98</v>
      </c>
      <c r="C75" s="126" t="s">
        <v>174</v>
      </c>
      <c r="D75" s="121">
        <v>1.7</v>
      </c>
    </row>
    <row r="76" spans="1:4" ht="12.75">
      <c r="A76" s="118">
        <f>A75+D75</f>
        <v>184.8</v>
      </c>
      <c r="B76" s="123" t="s">
        <v>100</v>
      </c>
      <c r="C76" s="126" t="s">
        <v>175</v>
      </c>
      <c r="D76" s="121">
        <v>2.5</v>
      </c>
    </row>
    <row r="77" spans="1:4" ht="12.75">
      <c r="A77" s="118"/>
      <c r="B77" s="141"/>
      <c r="C77" s="126" t="s">
        <v>176</v>
      </c>
      <c r="D77" s="121"/>
    </row>
    <row r="78" spans="1:4" ht="12.75">
      <c r="A78" s="142">
        <f>A76+D76</f>
        <v>187.3</v>
      </c>
      <c r="B78" s="123" t="s">
        <v>98</v>
      </c>
      <c r="C78" s="141" t="s">
        <v>177</v>
      </c>
      <c r="D78" s="143">
        <v>4.3</v>
      </c>
    </row>
    <row r="79" spans="1:4" ht="12.75">
      <c r="A79" s="118">
        <f>A78+D78</f>
        <v>191.60000000000002</v>
      </c>
      <c r="B79" s="123" t="s">
        <v>100</v>
      </c>
      <c r="C79" s="126" t="s">
        <v>178</v>
      </c>
      <c r="D79" s="121">
        <v>3.5</v>
      </c>
    </row>
    <row r="80" spans="1:4" ht="12.75">
      <c r="A80" s="118">
        <f>A79+D79</f>
        <v>195.10000000000002</v>
      </c>
      <c r="B80" s="123" t="s">
        <v>95</v>
      </c>
      <c r="C80" s="126" t="s">
        <v>179</v>
      </c>
      <c r="D80" s="121">
        <v>0.6</v>
      </c>
    </row>
    <row r="81" spans="1:4" ht="12.75">
      <c r="A81" s="118">
        <f>A80+D80</f>
        <v>195.70000000000002</v>
      </c>
      <c r="B81" s="123" t="s">
        <v>100</v>
      </c>
      <c r="C81" s="126" t="s">
        <v>101</v>
      </c>
      <c r="D81" s="121">
        <v>7.2</v>
      </c>
    </row>
    <row r="82" spans="1:4" ht="12.75">
      <c r="A82" s="118"/>
      <c r="B82" s="123"/>
      <c r="C82" s="126"/>
      <c r="D82" s="121"/>
    </row>
    <row r="83" spans="1:5" ht="12.75">
      <c r="A83" s="144">
        <f>A81+D81</f>
        <v>202.9</v>
      </c>
      <c r="B83" s="124"/>
      <c r="C83" s="124" t="s">
        <v>180</v>
      </c>
      <c r="D83" s="129"/>
      <c r="E83" s="1" t="s">
        <v>168</v>
      </c>
    </row>
    <row r="84" spans="1:4" ht="12.75">
      <c r="A84" s="122"/>
      <c r="B84" s="124"/>
      <c r="C84" s="124" t="s">
        <v>151</v>
      </c>
      <c r="D84" s="129"/>
    </row>
    <row r="85" spans="1:4" ht="12.75">
      <c r="A85" s="118"/>
      <c r="B85" s="123"/>
      <c r="C85" s="126"/>
      <c r="D85" s="121"/>
    </row>
    <row r="86" spans="1:4" ht="12.75">
      <c r="A86" s="118"/>
      <c r="B86" s="123"/>
      <c r="C86" s="126"/>
      <c r="D86" s="121"/>
    </row>
    <row r="87" spans="1:4" ht="12.75">
      <c r="A87" s="118"/>
      <c r="B87" s="123"/>
      <c r="C87" s="126"/>
      <c r="D87" s="121"/>
    </row>
    <row r="88" spans="1:4" ht="12.75">
      <c r="A88" s="118"/>
      <c r="B88" s="123"/>
      <c r="C88" s="126"/>
      <c r="D88" s="121"/>
    </row>
    <row r="89" spans="1:4" ht="12.75">
      <c r="A89" s="118"/>
      <c r="B89" s="123"/>
      <c r="C89" s="126"/>
      <c r="D89" s="121"/>
    </row>
    <row r="90" spans="1:4" ht="12.75">
      <c r="A90" s="118"/>
      <c r="B90" s="123"/>
      <c r="C90" s="126"/>
      <c r="D90" s="121"/>
    </row>
    <row r="91" spans="1:4" ht="12.75">
      <c r="A91" s="118"/>
      <c r="B91" s="123"/>
      <c r="C91" s="140" t="s">
        <v>157</v>
      </c>
      <c r="D91" s="121"/>
    </row>
    <row r="92" spans="1:4" ht="12.75">
      <c r="A92" s="130"/>
      <c r="B92" s="134"/>
      <c r="C92" s="135"/>
      <c r="D92" s="133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E29" sqref="E29"/>
    </sheetView>
  </sheetViews>
  <sheetFormatPr defaultColWidth="9.140625" defaultRowHeight="12.75"/>
  <cols>
    <col min="1" max="1" width="12.57421875" style="0" customWidth="1"/>
    <col min="2" max="2" width="15.140625" style="0" customWidth="1"/>
    <col min="3" max="3" width="0.85546875" style="0" customWidth="1"/>
  </cols>
  <sheetData>
    <row r="1" spans="1:4" ht="15">
      <c r="A1" s="145" t="str">
        <f>Brevet_Number</f>
        <v>VI0200A</v>
      </c>
      <c r="B1" s="145"/>
      <c r="C1" s="145"/>
      <c r="D1" s="145"/>
    </row>
    <row r="2" spans="1:4" ht="15">
      <c r="A2" s="146" t="s">
        <v>181</v>
      </c>
      <c r="B2" s="146"/>
      <c r="C2" s="147"/>
      <c r="D2" s="148" t="s">
        <v>182</v>
      </c>
    </row>
    <row r="3" spans="1:5" ht="12.75">
      <c r="A3" s="81" t="e">
        <f>#REF!</f>
        <v>#REF!</v>
      </c>
      <c r="B3" s="90" t="e">
        <f>#REF!</f>
        <v>#REF!</v>
      </c>
      <c r="C3" s="90"/>
      <c r="D3" s="149" t="e">
        <f>#REF!</f>
        <v>#REF!</v>
      </c>
      <c r="E3">
        <f>IF(ISBLANK(#REF!),"",#REF!)</f>
      </c>
    </row>
    <row r="4" spans="1:5" ht="12.75">
      <c r="A4" s="81" t="e">
        <f>#REF!</f>
        <v>#REF!</v>
      </c>
      <c r="B4" s="90" t="e">
        <f>#REF!</f>
        <v>#REF!</v>
      </c>
      <c r="C4" s="90"/>
      <c r="D4" s="149" t="e">
        <f>#REF!</f>
        <v>#REF!</v>
      </c>
      <c r="E4">
        <f>IF(ISBLANK(#REF!),"",#REF!)</f>
      </c>
    </row>
    <row r="5" spans="1:5" ht="12.75">
      <c r="A5" s="81" t="e">
        <f>#REF!</f>
        <v>#REF!</v>
      </c>
      <c r="B5" s="90" t="e">
        <f>#REF!</f>
        <v>#REF!</v>
      </c>
      <c r="C5" s="90"/>
      <c r="D5" s="149" t="e">
        <f>#REF!</f>
        <v>#REF!</v>
      </c>
      <c r="E5">
        <f>IF(ISBLANK(#REF!),"",#REF!)</f>
      </c>
    </row>
    <row r="6" spans="1:5" ht="12.75">
      <c r="A6" s="81" t="e">
        <f>#REF!</f>
        <v>#REF!</v>
      </c>
      <c r="B6" s="90" t="e">
        <f>#REF!</f>
        <v>#REF!</v>
      </c>
      <c r="C6" s="90"/>
      <c r="D6" s="149" t="e">
        <f>#REF!</f>
        <v>#REF!</v>
      </c>
      <c r="E6">
        <f>IF(ISBLANK(#REF!),"",#REF!)</f>
      </c>
    </row>
    <row r="7" spans="1:5" ht="12.75">
      <c r="A7" s="81" t="e">
        <f>#REF!</f>
        <v>#REF!</v>
      </c>
      <c r="B7" s="90" t="e">
        <f>#REF!</f>
        <v>#REF!</v>
      </c>
      <c r="C7" s="90"/>
      <c r="D7" s="149" t="e">
        <f>#REF!</f>
        <v>#REF!</v>
      </c>
      <c r="E7">
        <f>IF(ISBLANK(#REF!),"",#REF!)</f>
      </c>
    </row>
    <row r="8" spans="1:5" ht="12.75">
      <c r="A8" s="81" t="e">
        <f>#REF!</f>
        <v>#REF!</v>
      </c>
      <c r="B8" s="90" t="e">
        <f>#REF!</f>
        <v>#REF!</v>
      </c>
      <c r="C8" s="90"/>
      <c r="D8" s="149" t="e">
        <f>#REF!</f>
        <v>#REF!</v>
      </c>
      <c r="E8">
        <f>IF(ISBLANK(#REF!),"",#REF!)</f>
      </c>
    </row>
    <row r="9" spans="1:5" ht="12.75">
      <c r="A9" s="81" t="e">
        <f>#REF!</f>
        <v>#REF!</v>
      </c>
      <c r="B9" s="90" t="e">
        <f>#REF!</f>
        <v>#REF!</v>
      </c>
      <c r="C9" s="90"/>
      <c r="D9" s="149" t="e">
        <f>#REF!</f>
        <v>#REF!</v>
      </c>
      <c r="E9">
        <f>IF(ISBLANK(#REF!),"",#REF!)</f>
      </c>
    </row>
    <row r="10" spans="1:5" ht="12.75">
      <c r="A10" s="81" t="e">
        <f>#REF!</f>
        <v>#REF!</v>
      </c>
      <c r="B10" s="90" t="e">
        <f>#REF!</f>
        <v>#REF!</v>
      </c>
      <c r="C10" s="90"/>
      <c r="D10" s="149" t="e">
        <f>#REF!</f>
        <v>#REF!</v>
      </c>
      <c r="E10">
        <f>IF(ISBLANK(#REF!),"",#REF!)</f>
      </c>
    </row>
    <row r="11" spans="1:5" ht="12.75">
      <c r="A11" s="81" t="e">
        <f>#REF!</f>
        <v>#REF!</v>
      </c>
      <c r="B11" s="90" t="e">
        <f>#REF!</f>
        <v>#REF!</v>
      </c>
      <c r="C11" s="90"/>
      <c r="D11" s="149" t="e">
        <f>#REF!</f>
        <v>#REF!</v>
      </c>
      <c r="E11">
        <f>IF(ISBLANK(#REF!),"",#REF!)</f>
      </c>
    </row>
    <row r="12" spans="1:5" ht="12.75">
      <c r="A12" s="81" t="e">
        <f>#REF!</f>
        <v>#REF!</v>
      </c>
      <c r="B12" s="90" t="e">
        <f>#REF!</f>
        <v>#REF!</v>
      </c>
      <c r="C12" s="90"/>
      <c r="D12" s="149" t="e">
        <f>#REF!</f>
        <v>#REF!</v>
      </c>
      <c r="E12">
        <f>IF(ISBLANK(#REF!),"",#REF!)</f>
      </c>
    </row>
    <row r="13" spans="1:5" ht="12.75">
      <c r="A13" s="81" t="e">
        <f>#REF!</f>
        <v>#REF!</v>
      </c>
      <c r="B13" s="90" t="e">
        <f>#REF!</f>
        <v>#REF!</v>
      </c>
      <c r="C13" s="90"/>
      <c r="D13" s="149" t="e">
        <f>#REF!</f>
        <v>#REF!</v>
      </c>
      <c r="E13">
        <f>IF(ISBLANK(#REF!),"",#REF!)</f>
      </c>
    </row>
    <row r="14" spans="1:5" ht="12.75">
      <c r="A14" s="81" t="e">
        <f>#REF!</f>
        <v>#REF!</v>
      </c>
      <c r="B14" s="90" t="e">
        <f>#REF!</f>
        <v>#REF!</v>
      </c>
      <c r="C14" s="90"/>
      <c r="D14" s="149" t="e">
        <f>#REF!</f>
        <v>#REF!</v>
      </c>
      <c r="E14">
        <f>IF(ISBLANK(#REF!),"",#REF!)</f>
      </c>
    </row>
    <row r="15" spans="1:5" ht="12.75">
      <c r="A15" s="81" t="e">
        <f>#REF!</f>
        <v>#REF!</v>
      </c>
      <c r="B15" s="90" t="e">
        <f>#REF!</f>
        <v>#REF!</v>
      </c>
      <c r="C15" s="90"/>
      <c r="D15" s="149" t="e">
        <f>#REF!</f>
        <v>#REF!</v>
      </c>
      <c r="E15">
        <f>IF(ISBLANK(#REF!),"",#REF!)</f>
      </c>
    </row>
    <row r="16" spans="1:5" ht="12.75">
      <c r="A16" s="81" t="e">
        <f>#REF!</f>
        <v>#REF!</v>
      </c>
      <c r="B16" s="90" t="e">
        <f>#REF!</f>
        <v>#REF!</v>
      </c>
      <c r="C16" s="90"/>
      <c r="D16" s="149" t="e">
        <f>#REF!</f>
        <v>#REF!</v>
      </c>
      <c r="E16">
        <f>IF(ISBLANK(#REF!),"",#REF!)</f>
      </c>
    </row>
    <row r="17" spans="1:5" ht="12.75">
      <c r="A17" s="81" t="e">
        <f>#REF!</f>
        <v>#REF!</v>
      </c>
      <c r="B17" s="90" t="e">
        <f>#REF!</f>
        <v>#REF!</v>
      </c>
      <c r="C17" s="90"/>
      <c r="D17" s="149" t="e">
        <f>#REF!</f>
        <v>#REF!</v>
      </c>
      <c r="E17">
        <f>IF(ISBLANK(#REF!),"",#REF!)</f>
      </c>
    </row>
    <row r="18" spans="1:5" ht="12.75">
      <c r="A18" s="81" t="e">
        <f>#REF!</f>
        <v>#REF!</v>
      </c>
      <c r="B18" s="90" t="e">
        <f>#REF!</f>
        <v>#REF!</v>
      </c>
      <c r="C18" s="90"/>
      <c r="D18" s="149" t="e">
        <f>#REF!</f>
        <v>#REF!</v>
      </c>
      <c r="E18">
        <f>IF(ISBLANK(#REF!),"",#REF!)</f>
      </c>
    </row>
    <row r="19" spans="1:5" ht="12.75">
      <c r="A19" s="81" t="e">
        <f>#REF!</f>
        <v>#REF!</v>
      </c>
      <c r="B19" s="90" t="e">
        <f>#REF!</f>
        <v>#REF!</v>
      </c>
      <c r="C19" s="90"/>
      <c r="D19" s="149" t="e">
        <f>#REF!</f>
        <v>#REF!</v>
      </c>
      <c r="E19">
        <f>IF(ISBLANK(#REF!),"",#REF!)</f>
      </c>
    </row>
    <row r="20" spans="1:5" ht="12.75">
      <c r="A20" s="81" t="e">
        <f>#REF!</f>
        <v>#REF!</v>
      </c>
      <c r="B20" s="90" t="e">
        <f>#REF!</f>
        <v>#REF!</v>
      </c>
      <c r="C20" s="90"/>
      <c r="D20" s="149" t="e">
        <f>#REF!</f>
        <v>#REF!</v>
      </c>
      <c r="E20">
        <f>IF(ISBLANK(#REF!),"",#REF!)</f>
      </c>
    </row>
    <row r="21" spans="1:5" ht="12.75">
      <c r="A21" s="81" t="e">
        <f>#REF!</f>
        <v>#REF!</v>
      </c>
      <c r="B21" s="90" t="e">
        <f>#REF!</f>
        <v>#REF!</v>
      </c>
      <c r="C21" s="90"/>
      <c r="D21" s="149" t="e">
        <f>#REF!</f>
        <v>#REF!</v>
      </c>
      <c r="E21">
        <f>IF(ISBLANK(#REF!),"",#REF!)</f>
      </c>
    </row>
    <row r="22" spans="1:5" ht="12.75">
      <c r="A22" s="81" t="e">
        <f>#REF!</f>
        <v>#REF!</v>
      </c>
      <c r="B22" s="90" t="e">
        <f>#REF!</f>
        <v>#REF!</v>
      </c>
      <c r="C22" s="90"/>
      <c r="D22" s="149" t="e">
        <f>#REF!</f>
        <v>#REF!</v>
      </c>
      <c r="E22">
        <f>IF(ISBLANK(#REF!),"",#REF!)</f>
      </c>
    </row>
    <row r="23" spans="1:5" ht="12.75">
      <c r="A23" s="81" t="e">
        <f>#REF!</f>
        <v>#REF!</v>
      </c>
      <c r="B23" s="90" t="e">
        <f>#REF!</f>
        <v>#REF!</v>
      </c>
      <c r="C23" s="90"/>
      <c r="D23" s="149" t="e">
        <f>#REF!</f>
        <v>#REF!</v>
      </c>
      <c r="E23">
        <f>IF(ISBLANK(#REF!),"",#REF!)</f>
      </c>
    </row>
    <row r="24" spans="1:5" ht="12.75">
      <c r="A24" s="81" t="e">
        <f>#REF!</f>
        <v>#REF!</v>
      </c>
      <c r="B24" s="90" t="e">
        <f>#REF!</f>
        <v>#REF!</v>
      </c>
      <c r="C24" s="90"/>
      <c r="D24" s="149" t="e">
        <f>#REF!</f>
        <v>#REF!</v>
      </c>
      <c r="E24">
        <f>IF(ISBLANK(#REF!),"",#REF!)</f>
      </c>
    </row>
    <row r="25" spans="1:5" ht="12.75">
      <c r="A25" s="81" t="e">
        <f>#REF!</f>
        <v>#REF!</v>
      </c>
      <c r="B25" s="90" t="e">
        <f>#REF!</f>
        <v>#REF!</v>
      </c>
      <c r="C25" s="90"/>
      <c r="D25" s="149" t="e">
        <f>#REF!</f>
        <v>#REF!</v>
      </c>
      <c r="E25">
        <f>IF(ISBLANK(#REF!),"",#REF!)</f>
      </c>
    </row>
    <row r="26" spans="1:5" ht="12.75">
      <c r="A26" s="81" t="e">
        <f>#REF!</f>
        <v>#REF!</v>
      </c>
      <c r="B26" s="90" t="e">
        <f>#REF!</f>
        <v>#REF!</v>
      </c>
      <c r="C26" s="90"/>
      <c r="D26" s="149" t="e">
        <f>#REF!</f>
        <v>#REF!</v>
      </c>
      <c r="E26">
        <f>IF(ISBLANK(#REF!),"",#REF!)</f>
      </c>
    </row>
    <row r="27" spans="1:5" ht="12.75">
      <c r="A27" s="81" t="e">
        <f>#REF!</f>
        <v>#REF!</v>
      </c>
      <c r="B27" s="90" t="e">
        <f>#REF!</f>
        <v>#REF!</v>
      </c>
      <c r="C27" s="90"/>
      <c r="D27" s="149" t="e">
        <f>#REF!</f>
        <v>#REF!</v>
      </c>
      <c r="E27">
        <f>IF(ISBLANK(#REF!),"",#REF!)</f>
      </c>
    </row>
    <row r="28" spans="1:5" ht="12.75">
      <c r="A28" s="81" t="e">
        <f>#REF!</f>
        <v>#REF!</v>
      </c>
      <c r="B28" s="90" t="e">
        <f>#REF!</f>
        <v>#REF!</v>
      </c>
      <c r="C28" s="90"/>
      <c r="D28" s="149" t="e">
        <f>#REF!</f>
        <v>#REF!</v>
      </c>
      <c r="E28">
        <f>IF(ISBLANK(#REF!),"",#REF!)</f>
      </c>
    </row>
    <row r="29" spans="1:4" ht="12.75">
      <c r="A29" s="81"/>
      <c r="B29" s="90"/>
      <c r="C29" s="90"/>
      <c r="D29" s="149"/>
    </row>
    <row r="30" spans="1:4" ht="12.75">
      <c r="A30" s="81"/>
      <c r="B30" s="90"/>
      <c r="C30" s="90"/>
      <c r="D30" s="149"/>
    </row>
    <row r="31" spans="1:4" ht="12.75">
      <c r="A31" s="81"/>
      <c r="B31" s="90"/>
      <c r="C31" s="90"/>
      <c r="D31" s="149"/>
    </row>
    <row r="32" spans="1:4" ht="12.75">
      <c r="A32" s="81"/>
      <c r="B32" s="90"/>
      <c r="C32" s="90"/>
      <c r="D32" s="149"/>
    </row>
    <row r="33" spans="1:4" ht="12.75">
      <c r="A33" s="86"/>
      <c r="B33" s="73"/>
      <c r="C33" s="73"/>
      <c r="D33" s="150"/>
    </row>
    <row r="35" ht="12.75">
      <c r="A35" t="s">
        <v>183</v>
      </c>
    </row>
    <row r="36" ht="12.75">
      <c r="A36" t="s">
        <v>184</v>
      </c>
    </row>
    <row r="37" ht="12.75">
      <c r="A37" t="s">
        <v>185</v>
      </c>
    </row>
    <row r="38" ht="12.75">
      <c r="A38" t="s">
        <v>186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&amp;"Arial,Regular"&amp;10Island 200 km Brevet
1st April, 2000</oddHeader>
    <oddFooter>&amp;L&amp;F
&amp;A&amp;CPage &amp;P&amp;R&amp;D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B1">
      <selection activeCell="C22" sqref="C22"/>
    </sheetView>
  </sheetViews>
  <sheetFormatPr defaultColWidth="9.140625" defaultRowHeight="12.75"/>
  <cols>
    <col min="1" max="1" width="0" style="0" hidden="1" customWidth="1"/>
    <col min="2" max="2" width="3.00390625" style="0" customWidth="1"/>
    <col min="3" max="8" width="15.140625" style="0" customWidth="1"/>
  </cols>
  <sheetData>
    <row r="2" spans="1:8" ht="12.75">
      <c r="A2" s="91"/>
      <c r="B2" s="73"/>
      <c r="C2" s="92" t="s">
        <v>76</v>
      </c>
      <c r="D2" s="92" t="s">
        <v>75</v>
      </c>
      <c r="E2" s="94"/>
      <c r="F2" s="94"/>
      <c r="G2" s="92"/>
      <c r="H2" s="92"/>
    </row>
    <row r="3" spans="1:8" ht="12.75">
      <c r="A3" s="91">
        <v>4</v>
      </c>
      <c r="B3" s="151">
        <v>1</v>
      </c>
      <c r="C3" s="103">
        <f>Riders!C4</f>
        <v>0</v>
      </c>
      <c r="D3" s="103">
        <f>Riders!B4</f>
        <v>0</v>
      </c>
      <c r="E3" s="104"/>
      <c r="F3" s="104"/>
      <c r="G3" s="103"/>
      <c r="H3" s="103"/>
    </row>
    <row r="4" spans="1:8" ht="12.75">
      <c r="A4" s="91">
        <v>2</v>
      </c>
      <c r="B4" s="103">
        <v>2</v>
      </c>
      <c r="C4" s="103">
        <f>Riders!C5</f>
        <v>0</v>
      </c>
      <c r="D4" s="103">
        <f>Riders!B5</f>
        <v>0</v>
      </c>
      <c r="E4" s="104"/>
      <c r="F4" s="104"/>
      <c r="G4" s="103"/>
      <c r="H4" s="103"/>
    </row>
    <row r="5" spans="1:8" ht="12.75">
      <c r="A5" s="91"/>
      <c r="B5" s="103">
        <v>3</v>
      </c>
      <c r="C5" s="103">
        <f>Riders!C6</f>
        <v>0</v>
      </c>
      <c r="D5" s="103">
        <f>Riders!B6</f>
        <v>0</v>
      </c>
      <c r="E5" s="104"/>
      <c r="F5" s="104"/>
      <c r="G5" s="103"/>
      <c r="H5" s="103"/>
    </row>
    <row r="6" spans="1:8" ht="12.75">
      <c r="A6" s="91">
        <v>3</v>
      </c>
      <c r="B6" s="103">
        <v>4</v>
      </c>
      <c r="C6" s="103">
        <f>Riders!C7</f>
        <v>0</v>
      </c>
      <c r="D6" s="103">
        <f>Riders!B7</f>
        <v>0</v>
      </c>
      <c r="E6" s="104"/>
      <c r="F6" s="104"/>
      <c r="G6" s="103"/>
      <c r="H6" s="103"/>
    </row>
    <row r="7" spans="1:8" ht="12.75">
      <c r="A7" s="91"/>
      <c r="B7" s="103">
        <v>5</v>
      </c>
      <c r="C7" s="103">
        <f>Riders!C8</f>
        <v>0</v>
      </c>
      <c r="D7" s="103">
        <f>Riders!B8</f>
        <v>0</v>
      </c>
      <c r="E7" s="104"/>
      <c r="F7" s="104"/>
      <c r="G7" s="103"/>
      <c r="H7" s="103"/>
    </row>
    <row r="8" spans="1:8" ht="12.75">
      <c r="A8" s="91"/>
      <c r="B8" s="103">
        <v>6</v>
      </c>
      <c r="C8" s="103">
        <f>Riders!C9</f>
        <v>0</v>
      </c>
      <c r="D8" s="103">
        <f>Riders!B9</f>
        <v>0</v>
      </c>
      <c r="E8" s="104"/>
      <c r="F8" s="104"/>
      <c r="G8" s="103"/>
      <c r="H8" s="103"/>
    </row>
    <row r="9" spans="1:8" ht="12.75">
      <c r="A9" s="91"/>
      <c r="B9" s="103">
        <v>7</v>
      </c>
      <c r="C9" s="103">
        <f>Riders!C10</f>
        <v>0</v>
      </c>
      <c r="D9" s="103">
        <f>Riders!B10</f>
        <v>0</v>
      </c>
      <c r="E9" s="104"/>
      <c r="F9" s="104"/>
      <c r="G9" s="103"/>
      <c r="H9" s="103"/>
    </row>
    <row r="10" spans="1:8" ht="12.75">
      <c r="A10" s="91"/>
      <c r="B10" s="103">
        <v>8</v>
      </c>
      <c r="C10" s="103">
        <f>Riders!C11</f>
        <v>0</v>
      </c>
      <c r="D10" s="103">
        <f>Riders!B11</f>
        <v>0</v>
      </c>
      <c r="E10" s="104"/>
      <c r="F10" s="104"/>
      <c r="G10" s="103"/>
      <c r="H10" s="103"/>
    </row>
    <row r="11" spans="1:8" ht="12.75">
      <c r="A11" s="91"/>
      <c r="B11" s="103">
        <v>9</v>
      </c>
      <c r="C11" s="103">
        <f>Riders!C12</f>
        <v>0</v>
      </c>
      <c r="D11" s="103">
        <f>Riders!B12</f>
        <v>0</v>
      </c>
      <c r="E11" s="104"/>
      <c r="F11" s="104"/>
      <c r="G11" s="103"/>
      <c r="H11" s="103"/>
    </row>
    <row r="12" spans="1:8" ht="12.75">
      <c r="A12" s="91"/>
      <c r="B12" s="103">
        <v>10</v>
      </c>
      <c r="C12" s="103">
        <f>Riders!C13</f>
        <v>0</v>
      </c>
      <c r="D12" s="103">
        <f>Riders!B13</f>
        <v>0</v>
      </c>
      <c r="E12" s="104"/>
      <c r="F12" s="104"/>
      <c r="G12" s="152"/>
      <c r="H12" s="103"/>
    </row>
    <row r="13" spans="1:8" ht="12.75">
      <c r="A13" s="91"/>
      <c r="B13" s="103">
        <v>11</v>
      </c>
      <c r="C13" s="103">
        <f>Riders!C14</f>
        <v>0</v>
      </c>
      <c r="D13" s="103">
        <f>Riders!B14</f>
        <v>0</v>
      </c>
      <c r="E13" s="104"/>
      <c r="F13" s="104"/>
      <c r="G13" s="103"/>
      <c r="H13" s="103"/>
    </row>
    <row r="14" spans="1:8" ht="12.75">
      <c r="A14" s="91"/>
      <c r="B14" s="103">
        <v>12</v>
      </c>
      <c r="C14" s="103">
        <f>Riders!C15</f>
        <v>0</v>
      </c>
      <c r="D14" s="103">
        <f>Riders!B15</f>
        <v>0</v>
      </c>
      <c r="E14" s="104"/>
      <c r="F14" s="104"/>
      <c r="G14" s="103"/>
      <c r="H14" s="103"/>
    </row>
    <row r="15" spans="1:8" ht="12.75">
      <c r="A15" s="91">
        <v>6</v>
      </c>
      <c r="B15" s="103">
        <v>13</v>
      </c>
      <c r="C15" s="103">
        <f>Riders!C16</f>
        <v>0</v>
      </c>
      <c r="D15" s="103">
        <f>Riders!B16</f>
        <v>0</v>
      </c>
      <c r="E15" s="104"/>
      <c r="F15" s="104"/>
      <c r="G15" s="103"/>
      <c r="H15" s="103"/>
    </row>
    <row r="16" spans="1:8" ht="12.75">
      <c r="A16" s="91"/>
      <c r="B16" s="103">
        <v>14</v>
      </c>
      <c r="C16" s="103">
        <f>Riders!C17</f>
        <v>0</v>
      </c>
      <c r="D16" s="103">
        <f>Riders!B17</f>
        <v>0</v>
      </c>
      <c r="E16" s="104"/>
      <c r="F16" s="104"/>
      <c r="G16" s="103"/>
      <c r="H16" s="103"/>
    </row>
    <row r="17" spans="1:8" ht="12.75">
      <c r="A17" s="91"/>
      <c r="B17" s="103">
        <v>15</v>
      </c>
      <c r="C17" s="103">
        <f>Riders!C18</f>
        <v>0</v>
      </c>
      <c r="D17" s="103">
        <f>Riders!B18</f>
        <v>0</v>
      </c>
      <c r="E17" s="104"/>
      <c r="F17" s="104"/>
      <c r="G17" s="103"/>
      <c r="H17" s="103"/>
    </row>
    <row r="18" spans="1:8" ht="12.75">
      <c r="A18" s="91"/>
      <c r="B18" s="103">
        <v>16</v>
      </c>
      <c r="C18" s="103">
        <f>Riders!C19</f>
        <v>0</v>
      </c>
      <c r="D18" s="103">
        <f>Riders!B19</f>
        <v>0</v>
      </c>
      <c r="E18" s="104"/>
      <c r="F18" s="104"/>
      <c r="G18" s="103"/>
      <c r="H18" s="103"/>
    </row>
    <row r="19" spans="1:8" ht="12.75">
      <c r="A19" s="91">
        <v>5</v>
      </c>
      <c r="B19" s="103">
        <v>17</v>
      </c>
      <c r="C19" s="103">
        <f>Riders!C20</f>
        <v>0</v>
      </c>
      <c r="D19" s="103">
        <f>Riders!B20</f>
        <v>0</v>
      </c>
      <c r="E19" s="104"/>
      <c r="F19" s="104"/>
      <c r="G19" s="103"/>
      <c r="H19" s="103"/>
    </row>
    <row r="20" spans="1:8" ht="12.75">
      <c r="A20" s="91"/>
      <c r="B20" s="103">
        <v>18</v>
      </c>
      <c r="C20" s="103">
        <f>Riders!C21</f>
        <v>0</v>
      </c>
      <c r="D20" s="103"/>
      <c r="E20" s="104"/>
      <c r="F20" s="104"/>
      <c r="G20" s="103"/>
      <c r="H20" s="103"/>
    </row>
    <row r="21" spans="1:8" ht="12.75">
      <c r="A21" s="91"/>
      <c r="B21" s="103">
        <v>19</v>
      </c>
      <c r="C21" s="103">
        <f>Riders!C22</f>
        <v>0</v>
      </c>
      <c r="D21" s="103"/>
      <c r="E21" s="104"/>
      <c r="F21" s="104"/>
      <c r="G21" s="103"/>
      <c r="H21" s="103"/>
    </row>
    <row r="22" spans="1:8" ht="12.75">
      <c r="A22" s="91"/>
      <c r="B22" s="103">
        <v>20</v>
      </c>
      <c r="C22" s="103"/>
      <c r="D22" s="103"/>
      <c r="E22" s="104"/>
      <c r="F22" s="104"/>
      <c r="G22" s="103"/>
      <c r="H22" s="103"/>
    </row>
    <row r="23" spans="1:8" ht="12.75">
      <c r="A23" s="91"/>
      <c r="B23" s="103">
        <v>21</v>
      </c>
      <c r="C23" s="103"/>
      <c r="D23" s="103"/>
      <c r="E23" s="104"/>
      <c r="F23" s="104"/>
      <c r="G23" s="103"/>
      <c r="H23" s="103"/>
    </row>
    <row r="24" spans="1:8" ht="12.75">
      <c r="A24" s="91"/>
      <c r="B24" s="103">
        <v>22</v>
      </c>
      <c r="C24" s="103"/>
      <c r="D24" s="103"/>
      <c r="E24" s="104"/>
      <c r="F24" s="104"/>
      <c r="G24" s="103"/>
      <c r="H24" s="103"/>
    </row>
    <row r="25" spans="1:8" ht="12.75">
      <c r="A25" s="91"/>
      <c r="B25" s="103">
        <v>23</v>
      </c>
      <c r="C25" s="103"/>
      <c r="D25" s="103"/>
      <c r="E25" s="104"/>
      <c r="F25" s="104"/>
      <c r="G25" s="103"/>
      <c r="H25" s="103"/>
    </row>
    <row r="26" spans="1:8" ht="12.75">
      <c r="A26" s="91"/>
      <c r="B26" s="103">
        <v>24</v>
      </c>
      <c r="C26" s="103"/>
      <c r="D26" s="103"/>
      <c r="E26" s="104"/>
      <c r="F26" s="104"/>
      <c r="G26" s="103"/>
      <c r="H26" s="103"/>
    </row>
    <row r="27" spans="1:8" ht="12.75">
      <c r="A27" s="91"/>
      <c r="B27" s="103">
        <v>25</v>
      </c>
      <c r="C27" s="103"/>
      <c r="D27" s="103"/>
      <c r="E27" s="104"/>
      <c r="F27" s="104"/>
      <c r="G27" s="103"/>
      <c r="H27" s="103"/>
    </row>
    <row r="28" spans="1:8" ht="12.75">
      <c r="A28" s="91"/>
      <c r="B28" s="103">
        <v>26</v>
      </c>
      <c r="C28" s="103"/>
      <c r="D28" s="103"/>
      <c r="E28" s="104"/>
      <c r="F28" s="104"/>
      <c r="G28" s="103"/>
      <c r="H28" s="103"/>
    </row>
    <row r="29" spans="1:8" ht="12.75">
      <c r="A29" s="91"/>
      <c r="B29" s="103">
        <v>27</v>
      </c>
      <c r="C29" s="103"/>
      <c r="D29" s="103"/>
      <c r="E29" s="104"/>
      <c r="F29" s="104"/>
      <c r="G29" s="103"/>
      <c r="H29" s="103"/>
    </row>
    <row r="30" spans="1:8" ht="12.75">
      <c r="A30" s="91"/>
      <c r="B30" s="103">
        <v>28</v>
      </c>
      <c r="C30" s="103"/>
      <c r="D30" s="103"/>
      <c r="E30" s="104"/>
      <c r="F30" s="104"/>
      <c r="G30" s="103"/>
      <c r="H30" s="103"/>
    </row>
    <row r="31" spans="1:8" ht="12.75">
      <c r="A31" s="91"/>
      <c r="B31" s="103">
        <v>29</v>
      </c>
      <c r="C31" s="103"/>
      <c r="D31" s="103"/>
      <c r="E31" s="104"/>
      <c r="F31" s="104"/>
      <c r="G31" s="103"/>
      <c r="H31" s="103"/>
    </row>
    <row r="32" spans="1:8" ht="12.75">
      <c r="A32" s="91"/>
      <c r="B32" s="103">
        <v>30</v>
      </c>
      <c r="C32" s="103"/>
      <c r="D32" s="103"/>
      <c r="E32" s="104"/>
      <c r="F32" s="104"/>
      <c r="G32" s="103"/>
      <c r="H32" s="103"/>
    </row>
    <row r="33" spans="1:8" ht="12.75">
      <c r="A33" s="91"/>
      <c r="B33" s="103">
        <v>31</v>
      </c>
      <c r="C33" s="103"/>
      <c r="D33" s="103"/>
      <c r="E33" s="104"/>
      <c r="F33" s="104"/>
      <c r="G33" s="103"/>
      <c r="H33" s="103"/>
    </row>
    <row r="34" spans="1:8" ht="12.75">
      <c r="A34" s="91"/>
      <c r="B34" s="103">
        <v>32</v>
      </c>
      <c r="C34" s="103"/>
      <c r="D34" s="103"/>
      <c r="E34" s="104"/>
      <c r="F34" s="104"/>
      <c r="G34" s="103"/>
      <c r="H34" s="103"/>
    </row>
    <row r="35" spans="2:8" ht="12.75">
      <c r="B35" s="103">
        <v>33</v>
      </c>
      <c r="C35" s="103"/>
      <c r="D35" s="103"/>
      <c r="E35" s="104"/>
      <c r="F35" s="104"/>
      <c r="G35" s="103"/>
      <c r="H35" s="103"/>
    </row>
    <row r="36" spans="2:8" ht="12.75">
      <c r="B36" s="103">
        <v>34</v>
      </c>
      <c r="C36" s="103"/>
      <c r="D36" s="103"/>
      <c r="E36" s="104"/>
      <c r="F36" s="104"/>
      <c r="G36" s="103"/>
      <c r="H36" s="103"/>
    </row>
    <row r="37" spans="2:8" ht="12.75">
      <c r="B37" s="103">
        <v>35</v>
      </c>
      <c r="C37" s="103"/>
      <c r="D37" s="103"/>
      <c r="E37" s="104"/>
      <c r="F37" s="104"/>
      <c r="G37" s="103"/>
      <c r="H37" s="103"/>
    </row>
    <row r="38" spans="2:8" ht="12.75">
      <c r="B38" s="103">
        <v>36</v>
      </c>
      <c r="C38" s="103"/>
      <c r="D38" s="103"/>
      <c r="E38" s="104"/>
      <c r="F38" s="104"/>
      <c r="G38" s="103"/>
      <c r="H38" s="103"/>
    </row>
    <row r="39" spans="2:8" ht="12.75">
      <c r="B39" s="103">
        <v>37</v>
      </c>
      <c r="C39" s="103"/>
      <c r="D39" s="103"/>
      <c r="E39" s="104"/>
      <c r="F39" s="104"/>
      <c r="G39" s="103"/>
      <c r="H39" s="103"/>
    </row>
    <row r="40" spans="2:8" ht="12.75">
      <c r="B40" s="103">
        <v>38</v>
      </c>
      <c r="C40" s="103"/>
      <c r="D40" s="103"/>
      <c r="E40" s="104"/>
      <c r="F40" s="104"/>
      <c r="G40" s="103"/>
      <c r="H40" s="103"/>
    </row>
    <row r="41" spans="2:8" ht="12.75">
      <c r="B41" s="103">
        <v>39</v>
      </c>
      <c r="C41" s="103"/>
      <c r="D41" s="103"/>
      <c r="E41" s="104"/>
      <c r="F41" s="104"/>
      <c r="G41" s="103"/>
      <c r="H41" s="103"/>
    </row>
    <row r="42" spans="2:8" ht="12.75">
      <c r="B42" s="103">
        <v>40</v>
      </c>
      <c r="C42" s="103"/>
      <c r="D42" s="103"/>
      <c r="E42" s="104"/>
      <c r="F42" s="104"/>
      <c r="G42" s="103"/>
      <c r="H42" s="103"/>
    </row>
    <row r="43" spans="2:8" ht="12.75">
      <c r="B43" s="103">
        <v>41</v>
      </c>
      <c r="C43" s="103"/>
      <c r="D43" s="103"/>
      <c r="E43" s="104"/>
      <c r="F43" s="104"/>
      <c r="G43" s="103"/>
      <c r="H43" s="103"/>
    </row>
    <row r="44" spans="2:8" ht="12.75">
      <c r="B44" s="103">
        <v>42</v>
      </c>
      <c r="C44" s="103"/>
      <c r="D44" s="103"/>
      <c r="E44" s="104"/>
      <c r="F44" s="104"/>
      <c r="G44" s="103"/>
      <c r="H44" s="103"/>
    </row>
    <row r="45" spans="2:8" ht="12.75">
      <c r="B45" s="103">
        <v>43</v>
      </c>
      <c r="C45" s="103"/>
      <c r="D45" s="103"/>
      <c r="E45" s="104"/>
      <c r="F45" s="104"/>
      <c r="G45" s="103"/>
      <c r="H45" s="103"/>
    </row>
    <row r="46" spans="2:8" ht="12.75">
      <c r="B46" s="103">
        <v>44</v>
      </c>
      <c r="C46" s="103"/>
      <c r="D46" s="103"/>
      <c r="E46" s="104"/>
      <c r="F46" s="104"/>
      <c r="G46" s="103"/>
      <c r="H46" s="103"/>
    </row>
    <row r="47" spans="2:8" ht="12.75">
      <c r="B47" s="103">
        <v>45</v>
      </c>
      <c r="C47" s="103"/>
      <c r="D47" s="103"/>
      <c r="E47" s="104"/>
      <c r="F47" s="104"/>
      <c r="G47" s="103"/>
      <c r="H47" s="103"/>
    </row>
    <row r="48" spans="2:8" ht="12.75">
      <c r="B48" s="103">
        <v>46</v>
      </c>
      <c r="C48" s="103"/>
      <c r="D48" s="103"/>
      <c r="E48" s="104"/>
      <c r="F48" s="104"/>
      <c r="G48" s="103"/>
      <c r="H48" s="103"/>
    </row>
    <row r="49" spans="2:8" ht="12.75">
      <c r="B49" s="153">
        <v>47</v>
      </c>
      <c r="C49" s="153"/>
      <c r="D49" s="153"/>
      <c r="E49" s="154"/>
      <c r="F49" s="154"/>
      <c r="G49" s="153"/>
      <c r="H49" s="153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/>
  <headerFooter alignWithMargins="0">
    <oddHeader>&amp;LVI0200A&amp;C200km Brevet
Tour of the Cowichan Valley&amp;R!st April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2005-04-06T03:01:37Z</cp:lastPrinted>
  <dcterms:created xsi:type="dcterms:W3CDTF">1997-11-12T04:43:39Z</dcterms:created>
  <dcterms:modified xsi:type="dcterms:W3CDTF">2006-03-12T02:40:24Z</dcterms:modified>
  <cp:category/>
  <cp:version/>
  <cp:contentType/>
  <cp:contentStatus/>
</cp:coreProperties>
</file>