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203A 010802" sheetId="4" r:id="rId4"/>
    <sheet name="Web sheet" sheetId="5" r:id="rId5"/>
    <sheet name="Web results" sheetId="6" r:id="rId6"/>
  </sheets>
  <externalReferences>
    <externalReference r:id="rId9"/>
  </externalReferences>
  <definedNames>
    <definedName name="_xlnm.Print_Titles" localSheetId="1">'Control Sheet'!$1:$2</definedName>
    <definedName name="_xlnm.Print_Area" localSheetId="3">'VI0203A 010802'!$A$1:$I$115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sharedStrings.xml><?xml version="1.0" encoding="utf-8"?>
<sst xmlns="http://schemas.openxmlformats.org/spreadsheetml/2006/main" count="637" uniqueCount="313">
  <si>
    <t>Brevet Length:</t>
  </si>
  <si>
    <t>Maximum Time:</t>
  </si>
  <si>
    <t>Brevet Description:</t>
  </si>
  <si>
    <t>Tour of Greater Victoria
(Saanich--Sidney--Cadboro Bay--Colquitz--Sooke--Saanich)</t>
  </si>
  <si>
    <t>Brevet Number:</t>
  </si>
  <si>
    <t>VI0203A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</si>
  <si>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</si>
  <si>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</si>
  <si>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</si>
  <si>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</si>
  <si>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</si>
  <si>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</si>
  <si>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</si>
  <si>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</si>
  <si>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</si>
  <si>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</si>
  <si>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</si>
  <si>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</si>
  <si>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</si>
  <si>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Saanich</t>
  </si>
  <si>
    <t>Gateway Village
Tim Horton's</t>
  </si>
  <si>
    <t>Ravine Way @ Blanshard</t>
  </si>
  <si>
    <t>Control 2</t>
  </si>
  <si>
    <t>Sidney</t>
  </si>
  <si>
    <t>Your choice</t>
  </si>
  <si>
    <t>Resthaven @ Beacon</t>
  </si>
  <si>
    <t>Control 3</t>
  </si>
  <si>
    <t>Cadboro Bay Village</t>
  </si>
  <si>
    <t>Cadboro Bay @ Sinclair</t>
  </si>
  <si>
    <t>Control 4</t>
  </si>
  <si>
    <t>Colquitz</t>
  </si>
  <si>
    <t>Wilkinson Plaza--Your choice</t>
  </si>
  <si>
    <t>Interurban @ Wilkinson</t>
  </si>
  <si>
    <t>Control 5</t>
  </si>
  <si>
    <t>Sooke</t>
  </si>
  <si>
    <t>City Centre--Your choice</t>
  </si>
  <si>
    <t>Hwy 14 @ Otter Point</t>
  </si>
  <si>
    <t>Control 6</t>
  </si>
  <si>
    <t>Control 7</t>
  </si>
  <si>
    <t>Control 8</t>
  </si>
  <si>
    <t>SECRET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</si>
  <si>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</si>
  <si>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</si>
  <si>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</si>
  <si>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</si>
  <si>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</si>
  <si>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</si>
  <si>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</si>
  <si>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</si>
  <si>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</si>
  <si>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</si>
  <si>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</si>
  <si>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</si>
  <si>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</si>
  <si>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</si>
  <si>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</si>
  <si>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</si>
  <si>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</si>
  <si>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</si>
  <si>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</si>
  <si>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</si>
  <si>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</si>
  <si>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</si>
  <si>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</si>
  <si>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</si>
  <si>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</si>
  <si>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</si>
  <si>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</si>
  <si>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</si>
  <si>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</si>
  <si>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</si>
  <si>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</si>
  <si>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</si>
  <si>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</si>
  <si>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</si>
  <si>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</si>
  <si>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</si>
  <si>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</si>
  <si>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</si>
  <si>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</si>
  <si>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</si>
  <si>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</si>
  <si>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</si>
  <si>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</si>
  <si>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</si>
  <si>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</si>
  <si>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</si>
  <si>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</si>
  <si>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</si>
  <si>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</si>
  <si>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At  km</t>
  </si>
  <si>
    <t>Turn</t>
  </si>
  <si>
    <t>onto  ROUTE</t>
  </si>
  <si>
    <t xml:space="preserve"> then   Go km</t>
  </si>
  <si>
    <t>START--Tim Horton's (Gateway Village)</t>
  </si>
  <si>
    <t>L</t>
  </si>
  <si>
    <t>BEACON</t>
  </si>
  <si>
    <t>Ravine Way at Blanshard Street</t>
  </si>
  <si>
    <t>R</t>
  </si>
  <si>
    <t>FIFTH (at lights)</t>
  </si>
  <si>
    <t>SO</t>
  </si>
  <si>
    <t>LOCHSIDE (at park)</t>
  </si>
  <si>
    <t>RAVINE WAY</t>
  </si>
  <si>
    <t>MT. NEWTON X ROAD</t>
  </si>
  <si>
    <t>CAREY</t>
  </si>
  <si>
    <t>CROSS PAT PAY HIGHWAY</t>
  </si>
  <si>
    <t>CAREY (at 3-way)</t>
  </si>
  <si>
    <t>CENTRAL SAANICH</t>
  </si>
  <si>
    <t>CAREY (cross McKenzie)</t>
  </si>
  <si>
    <t>EAST SAANICH</t>
  </si>
  <si>
    <t>ROY</t>
  </si>
  <si>
    <t>CENTRAL SAANICH (to Keating)</t>
  </si>
  <si>
    <t>ROY (cross Wilkinson)</t>
  </si>
  <si>
    <t>KEATING X ROAD</t>
  </si>
  <si>
    <t>INTERURBAN</t>
  </si>
  <si>
    <t>OLDFIELD (at lights)</t>
  </si>
  <si>
    <t>WEST SAANICH</t>
  </si>
  <si>
    <t>BROOKLEIGH</t>
  </si>
  <si>
    <t>WALLACE (don't go up hill)</t>
  </si>
  <si>
    <t>HAMSTERLY (to Highway 17)</t>
  </si>
  <si>
    <t>WEST SAANICH (at lights)</t>
  </si>
  <si>
    <t>SAYWARD (cross Highway 17)</t>
  </si>
  <si>
    <t>DOWNEY</t>
  </si>
  <si>
    <t>FOWLER (at bend)</t>
  </si>
  <si>
    <t>MADRONA</t>
  </si>
  <si>
    <t>CORDOVA BAY (at T)</t>
  </si>
  <si>
    <t>BIRCH (at gov't wharf)</t>
  </si>
  <si>
    <t>LOCHSIDE (at Mattick's Farm)</t>
  </si>
  <si>
    <t>CHALET</t>
  </si>
  <si>
    <t>MAPLE GROVE (at McMinn Park)</t>
  </si>
  <si>
    <t>LAND'S END</t>
  </si>
  <si>
    <t>SUNNYMEAD</t>
  </si>
  <si>
    <t>PAT BAY HIGHWAY (on-ramp)</t>
  </si>
  <si>
    <t>MCMORRAN</t>
  </si>
  <si>
    <t>WAIN (off-ramp)</t>
  </si>
  <si>
    <t>ROYAL OAK DRIVE</t>
  </si>
  <si>
    <t>WAIN ROAD OVERPASS</t>
  </si>
  <si>
    <t>CORDOVA BAY (at lights)</t>
  </si>
  <si>
    <t>MCDONALD PARK (at T)</t>
  </si>
  <si>
    <t>RESTHAVEN (at T)</t>
  </si>
  <si>
    <t>CONTROL #1--Your choice</t>
  </si>
  <si>
    <t>ASH</t>
  </si>
  <si>
    <t>ERIE</t>
  </si>
  <si>
    <t>GRANDVIEW</t>
  </si>
  <si>
    <t>ST. LAWRENCE</t>
  </si>
  <si>
    <t>FERNDALE</t>
  </si>
  <si>
    <t>KINGSTON (after T)</t>
  </si>
  <si>
    <t>GORDON HEAD (at bend)</t>
  </si>
  <si>
    <t>MONTREAL</t>
  </si>
  <si>
    <t>ARBUTUS (at T)</t>
  </si>
  <si>
    <t>QUEBEC</t>
  </si>
  <si>
    <t>ARBUTUS (at Finnerty)</t>
  </si>
  <si>
    <t>PENDRAY (at bend)</t>
  </si>
  <si>
    <t>TELEGRAPH BAY (at 4-way stop)</t>
  </si>
  <si>
    <t>BELLEVILLE</t>
  </si>
  <si>
    <t>CADBORO BAY (at bend)</t>
  </si>
  <si>
    <t>GOVERNMENT</t>
  </si>
  <si>
    <t>WHARF (at Tourist Information)</t>
  </si>
  <si>
    <t>CONTROL #2--Your Choice</t>
  </si>
  <si>
    <t>JOHNSON (to blue bridge)</t>
  </si>
  <si>
    <t>ESQUIMALT (up hill)</t>
  </si>
  <si>
    <t>TYEE (at lights)</t>
  </si>
  <si>
    <t>(Cadboro Bay at Sinclair)</t>
  </si>
  <si>
    <t>WILSON (caution-rail crossing)</t>
  </si>
  <si>
    <t>DOMINION</t>
  </si>
  <si>
    <t>CADBORO BAY (up hill)</t>
  </si>
  <si>
    <t>ESQUIMALT</t>
  </si>
  <si>
    <t>BEACH (through stone gates)</t>
  </si>
  <si>
    <t>DUNSMUIR</t>
  </si>
  <si>
    <t>KING GEORGE (up hill)</t>
  </si>
  <si>
    <t>HEAD</t>
  </si>
  <si>
    <t>CRESCENT</t>
  </si>
  <si>
    <t>GORE (bike route)</t>
  </si>
  <si>
    <t>ROSS</t>
  </si>
  <si>
    <t>LYALL (bike route)</t>
  </si>
  <si>
    <t>ROBERTSON</t>
  </si>
  <si>
    <t>LAMPSON</t>
  </si>
  <si>
    <t>HOLLYWOOD</t>
  </si>
  <si>
    <t>MUNRO</t>
  </si>
  <si>
    <t>DALLAS (at bend)</t>
  </si>
  <si>
    <t>BEWDLEY (at 5-way)</t>
  </si>
  <si>
    <t>ADMIRALS (no choice)</t>
  </si>
  <si>
    <t>GORGE RD W</t>
  </si>
  <si>
    <t>TILLICUM (to Gorge Bridge)</t>
  </si>
  <si>
    <t>SELKIRK (before lights)</t>
  </si>
  <si>
    <t>NORTH</t>
  </si>
  <si>
    <t>STYLES (sign may be missing)</t>
  </si>
  <si>
    <t>HASTINGS</t>
  </si>
  <si>
    <t>CRAIGFLOWER</t>
  </si>
  <si>
    <t>GRANVILLE</t>
  </si>
  <si>
    <t>SKINNER (up hill)</t>
  </si>
  <si>
    <t>CHARLTON</t>
  </si>
  <si>
    <t>CATHERINE (at lights)</t>
  </si>
  <si>
    <t>WEST BURNSIDE</t>
  </si>
  <si>
    <t>LANGFORD</t>
  </si>
  <si>
    <t>CROSS WATKISS WAY (4-way stop)</t>
  </si>
  <si>
    <t>TYEE</t>
  </si>
  <si>
    <t>HWY #14 (on-ramp to Sooke)</t>
  </si>
  <si>
    <t>GALLOPING GOOSE TRAIL (thru gate)</t>
  </si>
  <si>
    <t>HWY #14 (Island Highway)</t>
  </si>
  <si>
    <t>GALLOPING GOOSE (over Selkirk Trestle)</t>
  </si>
  <si>
    <t>OCEAN (at lights)</t>
  </si>
  <si>
    <t>GALLOPING GOOSE (over Switch Bridge)</t>
  </si>
  <si>
    <t>OCEAN (at Y)</t>
  </si>
  <si>
    <t>GALLOPING GOOSE (to Colwood)</t>
  </si>
  <si>
    <t>LAGOON (up hill)</t>
  </si>
  <si>
    <t>CREASE (first right)</t>
  </si>
  <si>
    <t>METCHOSIN</t>
  </si>
  <si>
    <t>HARRIET</t>
  </si>
  <si>
    <t>HAPPY VALLEY</t>
  </si>
  <si>
    <t>CADILLAC</t>
  </si>
  <si>
    <t>LINDHOLM</t>
  </si>
  <si>
    <t>RAYMOND</t>
  </si>
  <si>
    <t>KANGAROO</t>
  </si>
  <si>
    <t>DUMERESQ</t>
  </si>
  <si>
    <t>HWY #14 (to Sooke)</t>
  </si>
  <si>
    <t>CONTROL #4--Your Choice</t>
  </si>
  <si>
    <t>CONTROL #3--Your Choice</t>
  </si>
  <si>
    <t>Sooke City Centre</t>
  </si>
  <si>
    <t xml:space="preserve">Wilkinson Plaza </t>
  </si>
  <si>
    <t>(Highway #14/Otter Point Road, at lights)</t>
  </si>
  <si>
    <t>(Interurban at Wilkinson)</t>
  </si>
  <si>
    <t>HWY #14 (to Victoria)</t>
  </si>
  <si>
    <t>HUMPBACK</t>
  </si>
  <si>
    <t>SOOKE LAKE ROAD (at Grocery)</t>
  </si>
  <si>
    <t>HWY #1 (to Victoria)</t>
  </si>
  <si>
    <t>GOLDSTREAM (to Langford)</t>
  </si>
  <si>
    <t>JACKLIN</t>
  </si>
  <si>
    <t>JENKINS (at church)</t>
  </si>
  <si>
    <t>GLEN LAKE</t>
  </si>
  <si>
    <t>HWY #14</t>
  </si>
  <si>
    <t>LATORIA</t>
  </si>
  <si>
    <t>WISHART</t>
  </si>
  <si>
    <t>LEDSHAM</t>
  </si>
  <si>
    <t>HWY #1 SOUTH (on-ramp Bike Route)</t>
  </si>
  <si>
    <t>HWY #1 SOUTH (to Victoria)</t>
  </si>
  <si>
    <t>HWY #1 (off-ramp to View Royal)</t>
  </si>
  <si>
    <t>HELMCKEN</t>
  </si>
  <si>
    <t>WILKINSON</t>
  </si>
  <si>
    <t>RAVINE WAY (at Town &amp; Country)</t>
  </si>
  <si>
    <t>FINISH</t>
  </si>
  <si>
    <t>Tim Horton's (Gateway Village)</t>
  </si>
  <si>
    <t>CONGRATULATIONS!</t>
  </si>
  <si>
    <t>START--Oak Bay High School</t>
  </si>
  <si>
    <t>Go to 25 km point</t>
  </si>
  <si>
    <t>Cranmore @ Christie</t>
  </si>
  <si>
    <t>Go to 50 km point</t>
  </si>
  <si>
    <t>CRANMORE</t>
  </si>
  <si>
    <t>Go to Control #1</t>
  </si>
  <si>
    <t>ST. ANN</t>
  </si>
  <si>
    <t>Go to Finish</t>
  </si>
  <si>
    <t>MONTEREY</t>
  </si>
  <si>
    <t>OAK BAY (at lights)</t>
  </si>
  <si>
    <t>OAK BAY (at right curve)</t>
  </si>
  <si>
    <t>PROSPECT</t>
  </si>
  <si>
    <t>SAN CARLOS</t>
  </si>
  <si>
    <t>BEACH</t>
  </si>
  <si>
    <t>CATTLE POINT (scenic loop)</t>
  </si>
  <si>
    <t>CADBORO BAY (at stone gates)</t>
  </si>
  <si>
    <t>TELEGRAPH BAY</t>
  </si>
  <si>
    <t>TELEGRAPH BAY (4 way stop)</t>
  </si>
  <si>
    <t>QUEENSWOOD (first left)</t>
  </si>
  <si>
    <t>ARBUTUS (at stop sign)</t>
  </si>
  <si>
    <t>GORDON HEAD</t>
  </si>
  <si>
    <t>GRANDVIEW (at Ferndale)</t>
  </si>
  <si>
    <t>ASH (at Tyndall)</t>
  </si>
  <si>
    <t>CORDOVA BAY</t>
  </si>
  <si>
    <t>FOWLER</t>
  </si>
  <si>
    <t>SAYWARD (after golf course)</t>
  </si>
  <si>
    <t>Cross Pat Bay Hwy</t>
  </si>
  <si>
    <t>HAMSTERLY (at T)</t>
  </si>
  <si>
    <t>Return to start</t>
  </si>
  <si>
    <t>BROOKLEIGH (first right)</t>
  </si>
  <si>
    <t>OLDFIELD (at T)</t>
  </si>
  <si>
    <t>OLD WEST SAANICH</t>
  </si>
  <si>
    <t>Cross Old West Saanich</t>
  </si>
  <si>
    <t>SPARTON</t>
  </si>
  <si>
    <t>WEST SAANICH (at stop)</t>
  </si>
  <si>
    <t>GOWARD</t>
  </si>
  <si>
    <t>INTERURBAN (first left)</t>
  </si>
  <si>
    <t>INTERURBAN (to downtown)</t>
  </si>
  <si>
    <t>EAST BURNSIDE</t>
  </si>
  <si>
    <t>DOUGLAS</t>
  </si>
  <si>
    <t>PEMBROKE</t>
  </si>
  <si>
    <t>STORE (at T)</t>
  </si>
  <si>
    <t>WHARF (at bridge)</t>
  </si>
  <si>
    <t>GOVERNMENT (at Tourist Info)</t>
  </si>
  <si>
    <t>BELLEVILLE (at lights)</t>
  </si>
  <si>
    <t>PENDRAY (at T)</t>
  </si>
  <si>
    <t>QUEBEC (first right)</t>
  </si>
  <si>
    <t>MONTREAL (at T)</t>
  </si>
  <si>
    <t>KINGSTON (first right)</t>
  </si>
  <si>
    <t>St. LAWRENCE (at T)</t>
  </si>
  <si>
    <t>ERIE (first right)</t>
  </si>
  <si>
    <t>DALLAS (no choice)</t>
  </si>
  <si>
    <t>HOLLYWOOD (after causeway)</t>
  </si>
  <si>
    <t>ROSS (at stop sign)</t>
  </si>
  <si>
    <t>WINDSOR (after Oak Bay Marina)</t>
  </si>
  <si>
    <t>NEWPORT</t>
  </si>
  <si>
    <t>OAK BAY</t>
  </si>
  <si>
    <t>ELGIN</t>
  </si>
  <si>
    <t>MILTON</t>
  </si>
  <si>
    <t>FOUL BAY</t>
  </si>
  <si>
    <t>CADBORO BAY</t>
  </si>
  <si>
    <t>FINISH--Oak Bay High School</t>
  </si>
  <si>
    <t>Cranmore at Christie</t>
  </si>
  <si>
    <t>!!! CONGRATULATIONS !!!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</si>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</sst>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1">
    <numFmt numFmtId="164" formatCode="@"/>
    <numFmt numFmtId="165" formatCode="GENERAL"/>
    <numFmt numFmtId="166" formatCode="D\-MMM\-YY"/>
    <numFmt numFmtId="167" formatCode="H:MM"/>
    <numFmt numFmtId="168" formatCode="0.0"/>
    <numFmt numFmtId="169" formatCode="DD/MMM/YY\ HH:MM\ AM/PM"/>
    <numFmt numFmtId="170" formatCode="DDDD"/>
    <numFmt numFmtId="171" formatCode="H:MM\ AM/PM"/>
    <numFmt numFmtId="172" formatCode="D/MMM/YY"/>
    <numFmt numFmtId="173" formatCode="[&lt;=9999999]###\-####;\(###&quot;) &quot;###\-####"/>
    <numFmt numFmtId="174" formatCode="MMMM\ D&quot;, &quot;YYYY"/>
  </numFmts>
  <fonts count="15">
    <font>
      <sz val="10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 horizontal="lef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0"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0" borderId="0" xfId="0" applyAlignment="1" applyProtection="1">
      <alignment horizontal="left"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 horizontal="left"/>
      <protection locked="0"/>
    </xf>
    <xf numFmtId="165" fontId="0" fillId="0" borderId="0" xfId="0" applyAlignment="1">
      <alignment horizontal="left"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 horizontal="left"/>
    </xf>
    <xf numFmtId="164" fontId="0" fillId="0" borderId="5" xfId="0" applyFont="1" applyBorder="1" applyAlignment="1" applyProtection="1">
      <alignment horizontal="center" wrapText="1"/>
      <protection locked="0"/>
    </xf>
    <xf numFmtId="164" fontId="0" fillId="0" borderId="4" xfId="0" applyNumberFormat="1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6" fontId="0" fillId="0" borderId="4" xfId="0" applyNumberFormat="1" applyBorder="1" applyAlignment="1" applyProtection="1">
      <alignment horizontal="left"/>
      <protection locked="0"/>
    </xf>
    <xf numFmtId="164" fontId="0" fillId="2" borderId="6" xfId="0" applyFont="1" applyFill="1" applyBorder="1" applyAlignment="1">
      <alignment horizontal="right"/>
    </xf>
    <xf numFmtId="167" fontId="0" fillId="0" borderId="7" xfId="0" applyNumberFormat="1" applyBorder="1" applyAlignment="1" applyProtection="1">
      <alignment horizontal="left"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 horizontal="left"/>
    </xf>
    <xf numFmtId="164" fontId="0" fillId="2" borderId="8" xfId="0" applyFont="1" applyFill="1" applyBorder="1" applyAlignment="1">
      <alignment horizontal="left"/>
    </xf>
    <xf numFmtId="164" fontId="0" fillId="2" borderId="9" xfId="0" applyFont="1" applyFill="1" applyBorder="1" applyAlignment="1">
      <alignment horizontal="left"/>
    </xf>
    <xf numFmtId="164" fontId="0" fillId="2" borderId="10" xfId="0" applyFont="1" applyFill="1" applyBorder="1" applyAlignment="1">
      <alignment horizontal="left"/>
    </xf>
    <xf numFmtId="168" fontId="0" fillId="0" borderId="11" xfId="0" applyNumberFormat="1" applyBorder="1" applyAlignment="1" applyProtection="1">
      <alignment horizontal="left"/>
      <protection locked="0"/>
    </xf>
    <xf numFmtId="164" fontId="0" fillId="0" borderId="12" xfId="0" applyFont="1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>
      <alignment horizontal="left"/>
    </xf>
    <xf numFmtId="169" fontId="0" fillId="0" borderId="0" xfId="0" applyNumberFormat="1" applyBorder="1" applyAlignment="1">
      <alignment horizontal="center" vertical="center" wrapText="1"/>
    </xf>
    <xf numFmtId="164" fontId="0" fillId="0" borderId="12" xfId="0" applyNumberFormat="1" applyFont="1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left"/>
      <protection locked="0"/>
    </xf>
    <xf numFmtId="164" fontId="0" fillId="0" borderId="15" xfId="0" applyBorder="1" applyAlignment="1" applyProtection="1">
      <alignment horizontal="left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6" xfId="0" applyBorder="1" applyAlignment="1">
      <alignment horizontal="left"/>
    </xf>
    <xf numFmtId="164" fontId="0" fillId="0" borderId="0" xfId="0" applyBorder="1" applyAlignment="1">
      <alignment horizontal="left"/>
    </xf>
    <xf numFmtId="164" fontId="1" fillId="0" borderId="0" xfId="0" applyFont="1" applyBorder="1" applyAlignment="1">
      <alignment horizontal="center" vertical="center"/>
    </xf>
    <xf numFmtId="164" fontId="2" fillId="2" borderId="5" xfId="0" applyFont="1" applyFill="1" applyBorder="1" applyAlignment="1">
      <alignment horizontal="center" wrapText="1"/>
    </xf>
    <xf numFmtId="164" fontId="2" fillId="2" borderId="5" xfId="0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168" fontId="3" fillId="0" borderId="16" xfId="0" applyNumberFormat="1" applyFont="1" applyBorder="1" applyAlignment="1">
      <alignment horizontal="center" wrapText="1"/>
    </xf>
    <xf numFmtId="170" fontId="3" fillId="0" borderId="16" xfId="0" applyNumberFormat="1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/>
    </xf>
    <xf numFmtId="164" fontId="2" fillId="0" borderId="16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8" fontId="5" fillId="0" borderId="16" xfId="0" applyNumberFormat="1" applyFont="1" applyBorder="1" applyAlignment="1">
      <alignment horizontal="center" vertical="center"/>
    </xf>
    <xf numFmtId="171" fontId="5" fillId="0" borderId="16" xfId="0" applyNumberFormat="1" applyFont="1" applyBorder="1" applyAlignment="1">
      <alignment horizontal="center" vertical="center" wrapText="1"/>
    </xf>
    <xf numFmtId="164" fontId="5" fillId="0" borderId="16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left"/>
    </xf>
    <xf numFmtId="172" fontId="3" fillId="0" borderId="6" xfId="0" applyNumberFormat="1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/>
    </xf>
    <xf numFmtId="164" fontId="2" fillId="0" borderId="6" xfId="0" applyFont="1" applyBorder="1" applyAlignment="1">
      <alignment horizontal="left"/>
    </xf>
    <xf numFmtId="164" fontId="3" fillId="0" borderId="16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7" fillId="0" borderId="0" xfId="0" applyFont="1" applyAlignment="1">
      <alignment horizontal="left"/>
    </xf>
    <xf numFmtId="164" fontId="9" fillId="0" borderId="18" xfId="0" applyFont="1" applyBorder="1" applyAlignment="1" applyProtection="1">
      <alignment/>
      <protection/>
    </xf>
    <xf numFmtId="164" fontId="7" fillId="0" borderId="18" xfId="0" applyFont="1" applyBorder="1" applyAlignment="1" applyProtection="1">
      <alignment horizontal="center"/>
      <protection/>
    </xf>
    <xf numFmtId="164" fontId="7" fillId="0" borderId="18" xfId="0" applyFont="1" applyBorder="1" applyAlignment="1" applyProtection="1">
      <alignment horizontal="center"/>
      <protection locked="0"/>
    </xf>
    <xf numFmtId="164" fontId="9" fillId="0" borderId="18" xfId="0" applyFont="1" applyBorder="1" applyAlignment="1" applyProtection="1">
      <alignment horizontal="left"/>
      <protection/>
    </xf>
    <xf numFmtId="164" fontId="7" fillId="0" borderId="18" xfId="0" applyFont="1" applyBorder="1" applyAlignment="1" applyProtection="1">
      <alignment horizontal="left"/>
      <protection/>
    </xf>
    <xf numFmtId="164" fontId="7" fillId="0" borderId="18" xfId="0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73" fontId="10" fillId="0" borderId="18" xfId="0" applyNumberFormat="1" applyFont="1" applyBorder="1" applyAlignment="1" applyProtection="1">
      <alignment horizontal="center"/>
      <protection/>
    </xf>
    <xf numFmtId="164" fontId="10" fillId="0" borderId="18" xfId="0" applyFont="1" applyBorder="1" applyAlignment="1" applyProtection="1">
      <alignment horizontal="left"/>
      <protection/>
    </xf>
    <xf numFmtId="164" fontId="0" fillId="0" borderId="18" xfId="0" applyBorder="1" applyAlignment="1" applyProtection="1">
      <alignment horizontal="left"/>
      <protection/>
    </xf>
    <xf numFmtId="164" fontId="0" fillId="0" borderId="18" xfId="0" applyBorder="1" applyAlignment="1" applyProtection="1">
      <alignment horizontal="left"/>
      <protection locked="0"/>
    </xf>
    <xf numFmtId="164" fontId="2" fillId="0" borderId="0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/>
    </xf>
    <xf numFmtId="171" fontId="4" fillId="0" borderId="16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4" fontId="7" fillId="0" borderId="18" xfId="0" applyNumberFormat="1" applyFont="1" applyBorder="1" applyAlignment="1">
      <alignment horizontal="center"/>
    </xf>
    <xf numFmtId="164" fontId="0" fillId="0" borderId="18" xfId="0" applyBorder="1" applyAlignment="1">
      <alignment horizontal="left"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9" xfId="0" applyBorder="1" applyAlignment="1">
      <alignment horizontal="left"/>
    </xf>
    <xf numFmtId="164" fontId="0" fillId="0" borderId="20" xfId="0" applyBorder="1" applyAlignment="1" applyProtection="1">
      <alignment horizontal="left"/>
      <protection/>
    </xf>
    <xf numFmtId="164" fontId="0" fillId="0" borderId="21" xfId="0" applyBorder="1" applyAlignment="1" applyProtection="1">
      <alignment horizontal="left"/>
      <protection/>
    </xf>
    <xf numFmtId="164" fontId="0" fillId="0" borderId="19" xfId="0" applyBorder="1" applyAlignment="1" applyProtection="1">
      <alignment horizontal="left"/>
      <protection/>
    </xf>
    <xf numFmtId="164" fontId="0" fillId="0" borderId="22" xfId="0" applyBorder="1" applyAlignment="1">
      <alignment horizontal="left"/>
    </xf>
    <xf numFmtId="164" fontId="0" fillId="0" borderId="0" xfId="0" applyBorder="1" applyAlignment="1" applyProtection="1">
      <alignment horizontal="left"/>
      <protection/>
    </xf>
    <xf numFmtId="164" fontId="0" fillId="0" borderId="17" xfId="0" applyBorder="1" applyAlignment="1" applyProtection="1">
      <alignment horizontal="left"/>
      <protection/>
    </xf>
    <xf numFmtId="164" fontId="0" fillId="0" borderId="22" xfId="0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23" xfId="0" applyBorder="1" applyAlignment="1">
      <alignment horizontal="left"/>
    </xf>
    <xf numFmtId="164" fontId="0" fillId="0" borderId="7" xfId="0" applyBorder="1" applyAlignment="1" applyProtection="1">
      <alignment horizontal="left"/>
      <protection/>
    </xf>
    <xf numFmtId="164" fontId="0" fillId="0" borderId="23" xfId="0" applyBorder="1" applyAlignment="1" applyProtection="1">
      <alignment horizontal="left"/>
      <protection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12" fillId="2" borderId="5" xfId="0" applyFont="1" applyFill="1" applyBorder="1" applyAlignment="1">
      <alignment horizontal="left"/>
    </xf>
    <xf numFmtId="164" fontId="12" fillId="2" borderId="5" xfId="0" applyFont="1" applyFill="1" applyBorder="1" applyAlignment="1">
      <alignment wrapText="1"/>
    </xf>
    <xf numFmtId="173" fontId="12" fillId="2" borderId="5" xfId="0" applyNumberFormat="1" applyFont="1" applyFill="1" applyBorder="1" applyAlignment="1">
      <alignment horizontal="left"/>
    </xf>
    <xf numFmtId="173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 horizontal="left"/>
    </xf>
    <xf numFmtId="173" fontId="0" fillId="3" borderId="3" xfId="0" applyNumberFormat="1" applyFont="1" applyFill="1" applyBorder="1" applyAlignment="1" applyProtection="1">
      <alignment horizontal="left"/>
      <protection locked="0"/>
    </xf>
    <xf numFmtId="164" fontId="0" fillId="3" borderId="3" xfId="0" applyFont="1" applyFill="1" applyBorder="1" applyAlignment="1">
      <alignment horizontal="center"/>
    </xf>
    <xf numFmtId="164" fontId="0" fillId="0" borderId="0" xfId="0" applyFont="1" applyAlignment="1" applyProtection="1">
      <alignment horizontal="left"/>
      <protection locked="0"/>
    </xf>
    <xf numFmtId="164" fontId="0" fillId="0" borderId="3" xfId="0" applyFont="1" applyBorder="1" applyAlignment="1" applyProtection="1">
      <alignment horizontal="left"/>
      <protection locked="0"/>
    </xf>
    <xf numFmtId="173" fontId="0" fillId="0" borderId="3" xfId="0" applyNumberFormat="1" applyFont="1" applyBorder="1" applyAlignment="1" applyProtection="1">
      <alignment horizontal="left"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3" fontId="0" fillId="0" borderId="3" xfId="0" applyNumberFormat="1" applyFont="1" applyFill="1" applyBorder="1" applyAlignment="1" applyProtection="1">
      <alignment horizontal="left"/>
      <protection locked="0"/>
    </xf>
    <xf numFmtId="164" fontId="0" fillId="0" borderId="3" xfId="0" applyFont="1" applyBorder="1" applyAlignment="1" applyProtection="1">
      <alignment horizontal="left"/>
      <protection locked="0"/>
    </xf>
    <xf numFmtId="173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8" fontId="0" fillId="3" borderId="8" xfId="0" applyNumberFormat="1" applyFont="1" applyFill="1" applyBorder="1" applyAlignment="1">
      <alignment horizontal="right" textRotation="90" wrapText="1"/>
    </xf>
    <xf numFmtId="164" fontId="0" fillId="3" borderId="24" xfId="0" applyNumberFormat="1" applyFont="1" applyFill="1" applyBorder="1" applyAlignment="1">
      <alignment horizontal="center" textRotation="90"/>
    </xf>
    <xf numFmtId="164" fontId="0" fillId="3" borderId="25" xfId="0" applyNumberFormat="1" applyFont="1" applyFill="1" applyBorder="1" applyAlignment="1">
      <alignment horizontal="center" wrapText="1"/>
    </xf>
    <xf numFmtId="168" fontId="0" fillId="3" borderId="26" xfId="0" applyNumberFormat="1" applyFont="1" applyFill="1" applyBorder="1" applyAlignment="1">
      <alignment horizontal="center" textRotation="90" wrapText="1"/>
    </xf>
    <xf numFmtId="168" fontId="12" fillId="0" borderId="27" xfId="0" applyNumberFormat="1" applyFont="1" applyBorder="1" applyAlignment="1">
      <alignment horizontal="right"/>
    </xf>
    <xf numFmtId="164" fontId="12" fillId="0" borderId="28" xfId="0" applyNumberFormat="1" applyFont="1" applyBorder="1" applyAlignment="1">
      <alignment horizontal="center"/>
    </xf>
    <xf numFmtId="168" fontId="12" fillId="0" borderId="29" xfId="0" applyNumberFormat="1" applyFon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164" fontId="0" fillId="0" borderId="28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left"/>
    </xf>
    <xf numFmtId="168" fontId="0" fillId="0" borderId="29" xfId="0" applyNumberFormat="1" applyBorder="1" applyAlignment="1">
      <alignment horizontal="right"/>
    </xf>
    <xf numFmtId="168" fontId="12" fillId="0" borderId="30" xfId="0" applyNumberFormat="1" applyFont="1" applyBorder="1" applyAlignment="1">
      <alignment horizontal="right"/>
    </xf>
    <xf numFmtId="164" fontId="12" fillId="0" borderId="31" xfId="0" applyNumberFormat="1" applyFont="1" applyBorder="1" applyAlignment="1">
      <alignment horizontal="center"/>
    </xf>
    <xf numFmtId="168" fontId="12" fillId="0" borderId="32" xfId="0" applyNumberFormat="1" applyFont="1" applyBorder="1" applyAlignment="1">
      <alignment horizontal="right"/>
    </xf>
    <xf numFmtId="168" fontId="0" fillId="0" borderId="30" xfId="0" applyNumberFormat="1" applyBorder="1" applyAlignment="1">
      <alignment horizontal="right"/>
    </xf>
    <xf numFmtId="164" fontId="0" fillId="0" borderId="31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left"/>
    </xf>
    <xf numFmtId="168" fontId="0" fillId="0" borderId="32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8" fontId="0" fillId="0" borderId="30" xfId="0" applyNumberFormat="1" applyFont="1" applyBorder="1" applyAlignment="1">
      <alignment horizontal="right"/>
    </xf>
    <xf numFmtId="168" fontId="0" fillId="0" borderId="32" xfId="0" applyNumberFormat="1" applyFont="1" applyBorder="1" applyAlignment="1">
      <alignment horizontal="right"/>
    </xf>
    <xf numFmtId="164" fontId="0" fillId="0" borderId="31" xfId="0" applyFont="1" applyBorder="1" applyAlignment="1">
      <alignment horizontal="left"/>
    </xf>
    <xf numFmtId="164" fontId="0" fillId="0" borderId="31" xfId="0" applyFont="1" applyBorder="1" applyAlignment="1">
      <alignment horizontal="center"/>
    </xf>
    <xf numFmtId="164" fontId="0" fillId="0" borderId="31" xfId="0" applyFont="1" applyBorder="1" applyAlignment="1">
      <alignment horizontal="left"/>
    </xf>
    <xf numFmtId="164" fontId="0" fillId="0" borderId="31" xfId="0" applyFont="1" applyBorder="1" applyAlignment="1">
      <alignment/>
    </xf>
    <xf numFmtId="164" fontId="0" fillId="0" borderId="30" xfId="0" applyBorder="1" applyAlignment="1">
      <alignment horizontal="left"/>
    </xf>
    <xf numFmtId="164" fontId="0" fillId="0" borderId="33" xfId="0" applyBorder="1" applyAlignment="1">
      <alignment horizontal="left"/>
    </xf>
    <xf numFmtId="168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center"/>
    </xf>
    <xf numFmtId="164" fontId="0" fillId="0" borderId="35" xfId="0" applyBorder="1" applyAlignment="1">
      <alignment horizontal="left"/>
    </xf>
    <xf numFmtId="168" fontId="0" fillId="0" borderId="36" xfId="0" applyNumberFormat="1" applyBorder="1" applyAlignment="1">
      <alignment horizontal="right"/>
    </xf>
    <xf numFmtId="164" fontId="0" fillId="0" borderId="35" xfId="0" applyNumberFormat="1" applyBorder="1" applyAlignment="1">
      <alignment horizontal="left"/>
    </xf>
    <xf numFmtId="164" fontId="0" fillId="0" borderId="28" xfId="0" applyFont="1" applyBorder="1" applyAlignment="1">
      <alignment horizontal="left"/>
    </xf>
    <xf numFmtId="164" fontId="0" fillId="0" borderId="32" xfId="0" applyBorder="1" applyAlignment="1">
      <alignment horizontal="left"/>
    </xf>
    <xf numFmtId="164" fontId="0" fillId="0" borderId="34" xfId="0" applyBorder="1" applyAlignment="1">
      <alignment horizontal="left"/>
    </xf>
    <xf numFmtId="164" fontId="0" fillId="0" borderId="36" xfId="0" applyBorder="1" applyAlignment="1">
      <alignment horizontal="left"/>
    </xf>
    <xf numFmtId="164" fontId="0" fillId="0" borderId="35" xfId="0" applyBorder="1" applyAlignment="1">
      <alignment horizontal="center"/>
    </xf>
    <xf numFmtId="168" fontId="0" fillId="0" borderId="30" xfId="0" applyNumberFormat="1" applyBorder="1" applyAlignment="1">
      <alignment horizontal="left"/>
    </xf>
    <xf numFmtId="164" fontId="12" fillId="0" borderId="35" xfId="0" applyFont="1" applyBorder="1" applyAlignment="1">
      <alignment horizontal="center"/>
    </xf>
    <xf numFmtId="168" fontId="0" fillId="0" borderId="37" xfId="0" applyNumberFormat="1" applyBorder="1" applyAlignment="1">
      <alignment horizontal="left"/>
    </xf>
    <xf numFmtId="164" fontId="0" fillId="0" borderId="37" xfId="0" applyBorder="1" applyAlignment="1">
      <alignment horizontal="left"/>
    </xf>
    <xf numFmtId="168" fontId="12" fillId="0" borderId="38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center"/>
    </xf>
    <xf numFmtId="168" fontId="12" fillId="0" borderId="39" xfId="0" applyNumberFormat="1" applyFont="1" applyBorder="1" applyAlignment="1">
      <alignment horizontal="right"/>
    </xf>
    <xf numFmtId="168" fontId="0" fillId="0" borderId="38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8" fontId="0" fillId="0" borderId="39" xfId="0" applyNumberFormat="1" applyBorder="1" applyAlignment="1">
      <alignment horizontal="right"/>
    </xf>
    <xf numFmtId="164" fontId="12" fillId="0" borderId="13" xfId="0" applyNumberFormat="1" applyFont="1" applyBorder="1" applyAlignment="1">
      <alignment horizontal="left"/>
    </xf>
    <xf numFmtId="164" fontId="0" fillId="0" borderId="40" xfId="0" applyFont="1" applyBorder="1" applyAlignment="1">
      <alignment horizontal="center"/>
    </xf>
    <xf numFmtId="164" fontId="0" fillId="0" borderId="37" xfId="0" applyNumberFormat="1" applyFont="1" applyBorder="1" applyAlignment="1">
      <alignment horizontal="left"/>
    </xf>
    <xf numFmtId="164" fontId="0" fillId="0" borderId="37" xfId="0" applyNumberFormat="1" applyFont="1" applyBorder="1" applyAlignment="1">
      <alignment horizontal="center"/>
    </xf>
    <xf numFmtId="168" fontId="0" fillId="0" borderId="41" xfId="0" applyNumberFormat="1" applyBorder="1" applyAlignment="1">
      <alignment horizontal="right"/>
    </xf>
    <xf numFmtId="164" fontId="0" fillId="0" borderId="42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left"/>
    </xf>
    <xf numFmtId="168" fontId="0" fillId="0" borderId="7" xfId="0" applyNumberFormat="1" applyBorder="1" applyAlignment="1">
      <alignment horizontal="right"/>
    </xf>
    <xf numFmtId="164" fontId="0" fillId="0" borderId="38" xfId="0" applyBorder="1" applyAlignment="1">
      <alignment horizontal="left"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43" xfId="0" applyNumberFormat="1" applyFont="1" applyBorder="1" applyAlignment="1">
      <alignment horizontal="left"/>
    </xf>
    <xf numFmtId="168" fontId="0" fillId="0" borderId="44" xfId="0" applyNumberFormat="1" applyBorder="1" applyAlignment="1">
      <alignment horizontal="right"/>
    </xf>
    <xf numFmtId="164" fontId="12" fillId="0" borderId="37" xfId="0" applyNumberFormat="1" applyFont="1" applyBorder="1" applyAlignment="1">
      <alignment horizontal="center"/>
    </xf>
    <xf numFmtId="164" fontId="12" fillId="0" borderId="37" xfId="0" applyNumberFormat="1" applyFont="1" applyBorder="1" applyAlignment="1">
      <alignment horizontal="left"/>
    </xf>
    <xf numFmtId="164" fontId="12" fillId="0" borderId="0" xfId="0" applyFont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4" fillId="3" borderId="45" xfId="0" applyFont="1" applyFill="1" applyBorder="1" applyAlignment="1">
      <alignment horizontal="center"/>
    </xf>
    <xf numFmtId="164" fontId="14" fillId="3" borderId="24" xfId="0" applyFont="1" applyFill="1" applyBorder="1" applyAlignment="1">
      <alignment horizontal="left"/>
    </xf>
    <xf numFmtId="164" fontId="14" fillId="3" borderId="10" xfId="0" applyFont="1" applyFill="1" applyBorder="1" applyAlignment="1">
      <alignment horizontal="center"/>
    </xf>
    <xf numFmtId="164" fontId="0" fillId="0" borderId="17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temp\My%20Documents\1999%20Randonneurs\VI0300A%20%20Duncan--Victo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ders"/>
    </sheetNames>
    <sheetDataSet>
      <sheetData sheetId="0">
        <row r="8">
          <cell r="P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16.57421875" style="1" customWidth="1"/>
    <col min="2" max="2" width="10.28125" style="0" customWidth="1"/>
    <col min="3" max="3" width="0" style="2" hidden="1" customWidth="1"/>
    <col min="4" max="4" width="8.28125" style="0" customWidth="1"/>
    <col min="5" max="5" width="28.7109375" style="0" customWidth="1"/>
    <col min="6" max="7" width="25.7109375" style="0" customWidth="1"/>
    <col min="8" max="13" width="26.140625" style="0" customWidth="1"/>
  </cols>
  <sheetData>
    <row r="1" spans="1:3" ht="12.75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IF(Brevet_Length&gt;=1200,Brevet_Length,IF(Brevet_Length&gt;=1000,1000,IF(Brevet_Length&gt;=600,600,IF(Brevet_Length&gt;=400,400,IF(Brevet_Length&gt;=200,200,IF(Brevet_Length&gt;=150,150,IF(Brevet_Length&gt;=100,100,50)))))))</f>
        <v>200</v>
      </c>
    </row>
    <row r="2" spans="1:2" ht="12.75">
      <c r="A2" s="6" t="s">
        <v>1</v>
      </c>
      <c r="B2" s="7">
        <f>IF(brevet=1200,90,IF(brevet&gt;=1000,75,IF(brevet&gt;=600,40,IF(brevet&gt;=400,27,IF(brevet&gt;=300,20,IF(brevet&gt;=200,13.5,brevet/50*3.5))))))</f>
        <v>13.5</v>
      </c>
    </row>
    <row r="3" spans="1:8" ht="26.25" customHeight="1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0.3333333333333333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24.75">
      <c r="C10" s="2" t="s">
        <v>18</v>
      </c>
      <c r="D10" s="20">
        <v>0</v>
      </c>
      <c r="E10" s="21" t="s">
        <v>19</v>
      </c>
      <c r="F10" s="22" t="s">
        <v>20</v>
      </c>
      <c r="G10" s="23" t="s">
        <v>21</v>
      </c>
      <c r="H10" s="24"/>
      <c r="I10" s="25">
        <f>Start_date+Start_time</f>
        <v>0.3333333333333333</v>
      </c>
      <c r="J10" s="25">
        <f>I10+"1:00"</f>
        <v>0.375</v>
      </c>
      <c r="K10" s="26">
        <f>IF(ISBLANK(Distance),"",Open Control_1)</f>
        <v>0.3333333333333333</v>
      </c>
      <c r="L10" s="26">
        <f>IF(ISBLANK(Distance),"",Close Control_1)</f>
        <v>0.375</v>
      </c>
    </row>
    <row r="11" spans="3:12" ht="12.75">
      <c r="C11" s="2" t="s">
        <v>22</v>
      </c>
      <c r="D11" s="20">
        <v>47.2</v>
      </c>
      <c r="E11" s="21" t="s">
        <v>23</v>
      </c>
      <c r="F11" s="27" t="s">
        <v>24</v>
      </c>
      <c r="G11" s="27" t="s">
        <v>25</v>
      </c>
      <c r="H11" s="24"/>
      <c r="I11" s="5">
        <f>IF(ISBLANK(Distance),"",Distance/34)</f>
        <v>1.3882352941176472</v>
      </c>
      <c r="J11" s="5">
        <f>IF(ISBLANK(Distance),"",IF(Distance&gt;=brevet,brevet/50*3.5,Distance/(100/7)))</f>
        <v>3.304</v>
      </c>
      <c r="K11" s="26">
        <f>IF(ISBLANK(Distance),"",Open_time Control_1+(INT(Open)&amp;":"&amp;IF(ROUND(((Open-INT(Open))*60),0)&lt;10,0,"")&amp;ROUND(((Open-INT(Open))*60),0)))</f>
        <v>0.3909722222222222</v>
      </c>
      <c r="L11" s="26">
        <f>IF(ISBLANK(Distance),"",Open_time Control_1+(INT(Close)&amp;":"&amp;IF(ROUND(((Close-INT(Close))*60),0)&lt;10,0,"")&amp;ROUND(((Close-INT(Close))*60),0)))</f>
        <v>0.4708333333333333</v>
      </c>
    </row>
    <row r="12" spans="3:12" ht="12.75">
      <c r="C12" s="2" t="s">
        <v>26</v>
      </c>
      <c r="D12" s="20">
        <v>79.8</v>
      </c>
      <c r="E12" s="21" t="s">
        <v>27</v>
      </c>
      <c r="F12" s="27" t="s">
        <v>24</v>
      </c>
      <c r="G12" s="23" t="s">
        <v>28</v>
      </c>
      <c r="H12" s="24"/>
      <c r="I12" s="5">
        <f aca="true" t="shared" si="0" ref="I12:I29">IF(ISBLANK(Distance),"",Distance/34)</f>
        <v>2.347058823529412</v>
      </c>
      <c r="J12" s="5">
        <f aca="true" t="shared" si="1" ref="J12:J29">IF(ISBLANK(Distance),"",IF(Distance&gt;=brevet,brevet/50*3.5,Distance/(100/7)))</f>
        <v>5.585999999999999</v>
      </c>
      <c r="K12" s="26">
        <f>IF(ISBLANK(Distance),"",Open_time Control_1+(INT(Open)&amp;":"&amp;IF(ROUND(((Open-INT(Open))*60),0)&lt;10,0,"")&amp;ROUND(((Open-INT(Open))*60),0)))</f>
        <v>0.43124999999999997</v>
      </c>
      <c r="L12" s="26">
        <f>IF(ISBLANK(Distance),"",Open_time Control_1+(INT(Close)&amp;":"&amp;IF(ROUND(((Close-INT(Close))*60),0)&lt;10,0,"")&amp;ROUND(((Close-INT(Close))*60),0)))</f>
        <v>0.5659722222222222</v>
      </c>
    </row>
    <row r="13" spans="3:12" ht="12.75">
      <c r="C13" s="2" t="s">
        <v>29</v>
      </c>
      <c r="D13" s="20">
        <v>117</v>
      </c>
      <c r="E13" s="21" t="s">
        <v>30</v>
      </c>
      <c r="F13" s="27" t="s">
        <v>31</v>
      </c>
      <c r="G13" s="27" t="s">
        <v>32</v>
      </c>
      <c r="H13" s="24"/>
      <c r="I13" s="5">
        <f t="shared" si="0"/>
        <v>3.4411764705882355</v>
      </c>
      <c r="J13" s="5">
        <f t="shared" si="1"/>
        <v>8.19</v>
      </c>
      <c r="K13" s="26">
        <f>IF(ISBLANK(Distance),"",Open_time Control_1+(INT(Open)&amp;":"&amp;IF(ROUND(((Open-INT(Open))*60),0)&lt;10,0,"")&amp;ROUND(((Open-INT(Open))*60),0)))</f>
        <v>0.47638888888888886</v>
      </c>
      <c r="L13" s="26">
        <f>IF(ISBLANK(Distance),"",Open_time Control_1+(INT(Close)&amp;":"&amp;IF(ROUND(((Close-INT(Close))*60),0)&lt;10,0,"")&amp;ROUND(((Close-INT(Close))*60),0)))</f>
        <v>0.6743055555555555</v>
      </c>
    </row>
    <row r="14" spans="3:12" ht="12.75">
      <c r="C14" s="2" t="s">
        <v>33</v>
      </c>
      <c r="D14" s="20">
        <v>155.2</v>
      </c>
      <c r="E14" s="21" t="s">
        <v>34</v>
      </c>
      <c r="F14" s="27" t="s">
        <v>35</v>
      </c>
      <c r="G14" s="27" t="s">
        <v>36</v>
      </c>
      <c r="H14" s="24"/>
      <c r="I14" s="5">
        <f t="shared" si="0"/>
        <v>4.564705882352941</v>
      </c>
      <c r="J14" s="5">
        <f t="shared" si="1"/>
        <v>10.863999999999999</v>
      </c>
      <c r="K14" s="26">
        <f>IF(ISBLANK(Distance),"",Open_time Control_1+(INT(Open)&amp;":"&amp;IF(ROUND(((Open-INT(Open))*60),0)&lt;10,0,"")&amp;ROUND(((Open-INT(Open))*60),0)))</f>
        <v>0.523611111111111</v>
      </c>
      <c r="L14" s="26">
        <f>IF(ISBLANK(Distance),"",Open_time Control_1+(INT(Close)&amp;":"&amp;IF(ROUND(((Close-INT(Close))*60),0)&lt;10,0,"")&amp;ROUND(((Close-INT(Close))*60),0)))</f>
        <v>0.7861111111111111</v>
      </c>
    </row>
    <row r="15" spans="3:12" ht="24.75">
      <c r="C15" s="2" t="s">
        <v>37</v>
      </c>
      <c r="D15" s="20">
        <v>204.9</v>
      </c>
      <c r="E15" s="21" t="s">
        <v>19</v>
      </c>
      <c r="F15" s="22" t="s">
        <v>20</v>
      </c>
      <c r="G15" s="27" t="s">
        <v>21</v>
      </c>
      <c r="H15" s="24"/>
      <c r="I15" s="5">
        <f t="shared" si="0"/>
        <v>6.026470588235294</v>
      </c>
      <c r="J15" s="5">
        <f t="shared" si="1"/>
        <v>14</v>
      </c>
      <c r="K15" s="26">
        <f>IF(ISBLANK(Distance),"",Open_time Control_1+(INT(Open)&amp;":"&amp;IF(ROUND(((Open-INT(Open))*60),0)&lt;10,0,"")&amp;ROUND(((Open-INT(Open))*60),0)))</f>
        <v>0.5847222222222221</v>
      </c>
      <c r="L15" s="26">
        <f>IF(ISBLANK(Distance),"",Open_time Control_1+(INT(Close)&amp;":"&amp;IF(ROUND(((Close-INT(Close))*60),0)&lt;10,0,"")&amp;ROUND(((Close-INT(Close))*60),0)))</f>
        <v>0.9166666666666667</v>
      </c>
    </row>
    <row r="16" spans="3:12" ht="12.75">
      <c r="C16" s="2" t="s">
        <v>38</v>
      </c>
      <c r="D16" s="20"/>
      <c r="E16" s="21"/>
      <c r="F16" s="27"/>
      <c r="G16" s="27"/>
      <c r="H16" s="24"/>
      <c r="I16">
        <f t="shared" si="0"/>
      </c>
      <c r="J16">
        <f t="shared" si="1"/>
      </c>
      <c r="K16" s="26">
        <f>IF(ISBLANK(Distance),"",Open_time Control_1+(INT(Open)&amp;":"&amp;IF(ROUND(((Open-INT(Open))*60),0)&lt;10,0,"")&amp;ROUND(((Open-INT(Open))*60),0)))</f>
      </c>
      <c r="L16" s="26">
        <f>IF(ISBLANK(Distance),"",Open_time Control_1+(INT(Close)&amp;":"&amp;IF(ROUND(((Close-INT(Close))*60),0)&lt;10,0,"")&amp;ROUND(((Close-INT(Close))*60),0)))</f>
      </c>
    </row>
    <row r="17" spans="3:12" ht="12.75">
      <c r="C17" s="2" t="s">
        <v>39</v>
      </c>
      <c r="D17" s="20"/>
      <c r="E17" s="21" t="s">
        <v>40</v>
      </c>
      <c r="F17" s="27"/>
      <c r="G17" s="27"/>
      <c r="H17" s="24"/>
      <c r="I17">
        <f t="shared" si="0"/>
      </c>
      <c r="J17">
        <f t="shared" si="1"/>
      </c>
      <c r="K17" s="26">
        <f>IF(ISBLANK(Distance),"",Open_time Control_1+(INT(Open)&amp;":"&amp;IF(ROUND(((Open-INT(Open))*60),0)&lt;10,0,"")&amp;ROUND(((Open-INT(Open))*60),0)))</f>
      </c>
      <c r="L17" s="26">
        <f>IF(ISBLANK(Distance),"",Open_time Control_1+(INT(Close)&amp;":"&amp;IF(ROUND(((Close-INT(Close))*60),0)&lt;10,0,"")&amp;ROUND(((Close-INT(Close))*60),0)))</f>
      </c>
    </row>
    <row r="18" spans="3:12" ht="12.75">
      <c r="C18" s="2" t="s">
        <v>41</v>
      </c>
      <c r="D18" s="20"/>
      <c r="E18" s="21" t="s">
        <v>40</v>
      </c>
      <c r="F18" s="27"/>
      <c r="G18" s="27"/>
      <c r="H18" s="24"/>
      <c r="I18">
        <f t="shared" si="0"/>
      </c>
      <c r="J18">
        <f t="shared" si="1"/>
      </c>
      <c r="K18" s="26">
        <f>IF(ISBLANK(Distance),"",Open_time Control_1+(INT(Open)&amp;":"&amp;IF(ROUND(((Open-INT(Open))*60),0)&lt;10,0,"")&amp;ROUND(((Open-INT(Open))*60),0)))</f>
      </c>
      <c r="L18" s="26">
        <f>IF(ISBLANK(Distance),"",Open_time Control_1+(INT(Close)&amp;":"&amp;IF(ROUND(((Close-INT(Close))*60),0)&lt;10,0,"")&amp;ROUND(((Close-INT(Close))*60),0)))</f>
      </c>
    </row>
    <row r="19" spans="3:12" ht="12.75">
      <c r="C19" s="2" t="s">
        <v>42</v>
      </c>
      <c r="D19" s="20"/>
      <c r="E19" s="21" t="s">
        <v>40</v>
      </c>
      <c r="F19" s="27"/>
      <c r="G19" s="27"/>
      <c r="H19" s="24"/>
      <c r="I19">
        <f t="shared" si="0"/>
      </c>
      <c r="J19">
        <f t="shared" si="1"/>
      </c>
      <c r="K19" s="26">
        <f>IF(ISBLANK(Distance),"",Open_time Control_1+(INT(Open)&amp;":"&amp;IF(ROUND(((Open-INT(Open))*60),0)&lt;10,0,"")&amp;ROUND(((Open-INT(Open))*60),0)))</f>
      </c>
      <c r="L19" s="26">
        <f>IF(ISBLANK(Distance),"",Open_time Control_1+(INT(Close)&amp;":"&amp;IF(ROUND(((Close-INT(Close))*60),0)&lt;10,0,"")&amp;ROUND(((Close-INT(Close))*60),0)))</f>
      </c>
    </row>
    <row r="20" spans="3:12" ht="12.75">
      <c r="C20" s="2" t="s">
        <v>43</v>
      </c>
      <c r="D20" s="20"/>
      <c r="E20" s="21"/>
      <c r="F20" s="27"/>
      <c r="G20" s="27"/>
      <c r="H20" s="24"/>
      <c r="I20">
        <f t="shared" si="0"/>
      </c>
      <c r="J20">
        <f t="shared" si="1"/>
      </c>
      <c r="K20" s="26">
        <f>IF(ISBLANK(Distance),"",Open_time Control_1+(INT(Open)&amp;":"&amp;IF(ROUND(((Open-INT(Open))*60),0)&lt;10,0,"")&amp;ROUND(((Open-INT(Open))*60),0)))</f>
      </c>
      <c r="L20" s="26">
        <f>IF(ISBLANK(Distance),"",Open_time Control_1+(INT(Close)&amp;":"&amp;IF(ROUND(((Close-INT(Close))*60),0)&lt;10,0,"")&amp;ROUND(((Close-INT(Close))*60),0)))</f>
      </c>
    </row>
    <row r="21" spans="3:12" ht="12.75">
      <c r="C21" s="2" t="s">
        <v>44</v>
      </c>
      <c r="D21" s="20"/>
      <c r="E21" s="21"/>
      <c r="F21" s="27"/>
      <c r="G21" s="27"/>
      <c r="H21" s="24"/>
      <c r="I21">
        <f t="shared" si="0"/>
      </c>
      <c r="J21">
        <f t="shared" si="1"/>
      </c>
      <c r="K21" s="26">
        <f>IF(ISBLANK(Distance),"",Open_time Control_1+(INT(Open)&amp;":"&amp;IF(ROUND(((Open-INT(Open))*60),0)&lt;10,0,"")&amp;ROUND(((Open-INT(Open))*60),0)))</f>
      </c>
      <c r="L21" s="26">
        <f>IF(ISBLANK(Distance),"",Open_time Control_1+(INT(Close)&amp;":"&amp;IF(ROUND(((Close-INT(Close))*60),0)&lt;10,0,"")&amp;ROUND(((Close-INT(Close))*60),0)))</f>
      </c>
    </row>
    <row r="22" spans="3:12" ht="12.75">
      <c r="C22" s="2" t="s">
        <v>45</v>
      </c>
      <c r="D22" s="20"/>
      <c r="E22" s="21"/>
      <c r="F22" s="27"/>
      <c r="G22" s="27"/>
      <c r="H22" s="24"/>
      <c r="I22">
        <f t="shared" si="0"/>
      </c>
      <c r="J22">
        <f t="shared" si="1"/>
      </c>
      <c r="K22" s="26">
        <f>IF(ISBLANK(Distance),"",Open_time Control_1+(INT(Open)&amp;":"&amp;IF(ROUND(((Open-INT(Open))*60),0)&lt;10,0,"")&amp;ROUND(((Open-INT(Open))*60),0)))</f>
      </c>
      <c r="L22" s="26">
        <f>IF(ISBLANK(Distance),"",Open_time Control_1+(INT(Close)&amp;":"&amp;IF(ROUND(((Close-INT(Close))*60),0)&lt;10,0,"")&amp;ROUND(((Close-INT(Close))*60),0)))</f>
      </c>
    </row>
    <row r="23" spans="3:12" ht="12.75">
      <c r="C23" s="2" t="s">
        <v>46</v>
      </c>
      <c r="D23" s="20"/>
      <c r="E23" s="21"/>
      <c r="F23" s="27"/>
      <c r="G23" s="27"/>
      <c r="H23" s="24"/>
      <c r="I23">
        <f t="shared" si="0"/>
      </c>
      <c r="J23">
        <f t="shared" si="1"/>
      </c>
      <c r="K23" s="26">
        <f>IF(ISBLANK(Distance),"",Open_time Control_1+(INT(Open)&amp;":"&amp;IF(ROUND(((Open-INT(Open))*60),0)&lt;10,0,"")&amp;ROUND(((Open-INT(Open))*60),0)))</f>
      </c>
      <c r="L23" s="26">
        <f>IF(ISBLANK(Distance),"",Open_time Control_1+(INT(Close)&amp;":"&amp;IF(ROUND(((Close-INT(Close))*60),0)&lt;10,0,"")&amp;ROUND(((Close-INT(Close))*60),0)))</f>
      </c>
    </row>
    <row r="24" spans="3:12" ht="12.75">
      <c r="C24" s="2" t="s">
        <v>47</v>
      </c>
      <c r="D24" s="20"/>
      <c r="E24" s="21"/>
      <c r="F24" s="27"/>
      <c r="G24" s="27"/>
      <c r="H24" s="24"/>
      <c r="I24">
        <f t="shared" si="0"/>
      </c>
      <c r="J24">
        <f t="shared" si="1"/>
      </c>
      <c r="K24" s="26">
        <f>IF(ISBLANK(Distance),"",Open_time Control_1+(INT(Open)&amp;":"&amp;IF(ROUND(((Open-INT(Open))*60),0)&lt;10,0,"")&amp;ROUND(((Open-INT(Open))*60),0)))</f>
      </c>
      <c r="L24" s="26">
        <f>IF(ISBLANK(Distance),"",Open_time Control_1+(INT(Close)&amp;":"&amp;IF(ROUND(((Close-INT(Close))*60),0)&lt;10,0,"")&amp;ROUND(((Close-INT(Close))*60),0)))</f>
      </c>
    </row>
    <row r="25" spans="3:12" ht="12.75">
      <c r="C25" s="2" t="s">
        <v>48</v>
      </c>
      <c r="D25" s="20"/>
      <c r="E25" s="21"/>
      <c r="F25" s="27"/>
      <c r="G25" s="27"/>
      <c r="H25" s="24"/>
      <c r="I25">
        <f t="shared" si="0"/>
      </c>
      <c r="J25">
        <f t="shared" si="1"/>
      </c>
      <c r="K25" s="26">
        <f>IF(ISBLANK(Distance),"",Open_time Control_1+(INT(Open)&amp;":"&amp;IF(ROUND(((Open-INT(Open))*60),0)&lt;10,0,"")&amp;ROUND(((Open-INT(Open))*60),0)))</f>
      </c>
      <c r="L25" s="26">
        <f>IF(ISBLANK(Distance),"",Open_time Control_1+(INT(Close)&amp;":"&amp;IF(ROUND(((Close-INT(Close))*60),0)&lt;10,0,"")&amp;ROUND(((Close-INT(Close))*60),0)))</f>
      </c>
    </row>
    <row r="26" spans="3:12" ht="12.75">
      <c r="C26" s="2" t="s">
        <v>49</v>
      </c>
      <c r="D26" s="20"/>
      <c r="E26" s="21"/>
      <c r="F26" s="27"/>
      <c r="G26" s="27"/>
      <c r="H26" s="24"/>
      <c r="I26">
        <f t="shared" si="0"/>
      </c>
      <c r="J26">
        <f t="shared" si="1"/>
      </c>
      <c r="K26" s="26">
        <f>IF(ISBLANK(Distance),"",Open_time Control_1+(INT(Open)&amp;":"&amp;IF(ROUND(((Open-INT(Open))*60),0)&lt;10,0,"")&amp;ROUND(((Open-INT(Open))*60),0)))</f>
      </c>
      <c r="L26" s="26">
        <f>IF(ISBLANK(Distance),"",Open_time Control_1+(INT(Close)&amp;":"&amp;IF(ROUND(((Close-INT(Close))*60),0)&lt;10,0,"")&amp;ROUND(((Close-INT(Close))*60),0)))</f>
      </c>
    </row>
    <row r="27" spans="3:12" ht="12.75">
      <c r="C27" s="2" t="s">
        <v>50</v>
      </c>
      <c r="D27" s="20"/>
      <c r="E27" s="21"/>
      <c r="F27" s="27"/>
      <c r="G27" s="27"/>
      <c r="H27" s="24"/>
      <c r="I27">
        <f t="shared" si="0"/>
      </c>
      <c r="J27">
        <f t="shared" si="1"/>
      </c>
      <c r="K27" s="26">
        <f>IF(ISBLANK(Distance),"",Open_time Control_1+(INT(Open)&amp;":"&amp;IF(ROUND(((Open-INT(Open))*60),0)&lt;10,0,"")&amp;ROUND(((Open-INT(Open))*60),0)))</f>
      </c>
      <c r="L27" s="26">
        <f>IF(ISBLANK(Distance),"",Open_time Control_1+(INT(Close)&amp;":"&amp;IF(ROUND(((Close-INT(Close))*60),0)&lt;10,0,"")&amp;ROUND(((Close-INT(Close))*60),0)))</f>
      </c>
    </row>
    <row r="28" spans="3:12" ht="12.75">
      <c r="C28" s="2" t="s">
        <v>51</v>
      </c>
      <c r="D28" s="20"/>
      <c r="E28" s="21"/>
      <c r="F28" s="27"/>
      <c r="G28" s="27"/>
      <c r="H28" s="24"/>
      <c r="I28">
        <f t="shared" si="0"/>
      </c>
      <c r="J28">
        <f t="shared" si="1"/>
      </c>
      <c r="K28" s="26">
        <f>IF(ISBLANK(Distance),"",Open_time Control_1+(INT(Open)&amp;":"&amp;IF(ROUND(((Open-INT(Open))*60),0)&lt;10,0,"")&amp;ROUND(((Open-INT(Open))*60),0)))</f>
      </c>
      <c r="L28" s="26">
        <f>IF(ISBLANK(Distance),"",Open_time Control_1+(INT(Close)&amp;":"&amp;IF(ROUND(((Close-INT(Close))*60),0)&lt;10,0,"")&amp;ROUND(((Close-INT(Close))*60),0)))</f>
      </c>
    </row>
    <row r="29" spans="3:12" ht="12.75">
      <c r="C29" s="2" t="s">
        <v>52</v>
      </c>
      <c r="D29" s="28"/>
      <c r="E29" s="29"/>
      <c r="F29" s="30"/>
      <c r="G29" s="30"/>
      <c r="H29" s="31"/>
      <c r="I29">
        <f t="shared" si="0"/>
      </c>
      <c r="J29">
        <f t="shared" si="1"/>
      </c>
      <c r="K29" s="26">
        <f>IF(ISBLANK(Distance),"",Open_time Control_1+(INT(Open)&amp;":"&amp;IF(ROUND(((Open-INT(Open))*60),0)&lt;10,0,"")&amp;ROUND(((Open-INT(Open))*60),0)))</f>
      </c>
      <c r="L29" s="26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9">
      <selection activeCell="A19" sqref="A19"/>
    </sheetView>
  </sheetViews>
  <sheetFormatPr defaultColWidth="9.140625" defaultRowHeight="12.75"/>
  <cols>
    <col min="1" max="1" width="9.28125" style="32" customWidth="1"/>
    <col min="2" max="3" width="12.421875" style="0" customWidth="1"/>
    <col min="4" max="4" width="19.28125" style="0" customWidth="1"/>
    <col min="5" max="5" width="24.421875" style="0" customWidth="1"/>
    <col min="6" max="6" width="43.7109375" style="0" customWidth="1"/>
    <col min="7" max="7" width="13.421875" style="0" customWidth="1"/>
    <col min="8" max="8" width="9.00390625" style="33" customWidth="1"/>
    <col min="9" max="9" width="8.7109375" style="0" customWidth="1"/>
  </cols>
  <sheetData>
    <row r="1" spans="1:8" ht="19.5">
      <c r="A1" s="34" t="s">
        <v>53</v>
      </c>
      <c r="B1" s="34"/>
      <c r="C1" s="34"/>
      <c r="D1" s="34"/>
      <c r="E1" s="34"/>
      <c r="F1" s="34"/>
      <c r="G1" s="34"/>
      <c r="H1" s="11" t="s">
        <v>54</v>
      </c>
    </row>
    <row r="2" spans="1:14" ht="33.75" customHeight="1">
      <c r="A2" s="35" t="s">
        <v>55</v>
      </c>
      <c r="B2" s="36" t="s">
        <v>14</v>
      </c>
      <c r="C2" s="36" t="s">
        <v>15</v>
      </c>
      <c r="D2" s="36" t="s">
        <v>10</v>
      </c>
      <c r="E2" s="36" t="s">
        <v>56</v>
      </c>
      <c r="F2" s="36" t="s">
        <v>57</v>
      </c>
      <c r="G2" s="35" t="s">
        <v>58</v>
      </c>
      <c r="H2" s="11" t="s">
        <v>54</v>
      </c>
      <c r="N2" s="37"/>
    </row>
    <row r="3" spans="1:14" ht="36" customHeight="1">
      <c r="A3" s="38"/>
      <c r="B3" s="39">
        <f>Control_1 Open_time</f>
        <v>0.3333333333333333</v>
      </c>
      <c r="C3" s="39">
        <f>Control_1 Close_time</f>
        <v>0.375</v>
      </c>
      <c r="D3" s="40"/>
      <c r="E3" s="41">
        <f>IF(ISBLANK(Control_1 Establishment_1),"",Control_1 Establishment_1)</f>
        <v>0</v>
      </c>
      <c r="F3" s="42"/>
      <c r="G3" s="43"/>
      <c r="H3" s="11" t="s">
        <v>54</v>
      </c>
      <c r="K3" s="44"/>
      <c r="N3" s="37"/>
    </row>
    <row r="4" spans="1:14" ht="36" customHeight="1">
      <c r="A4" s="45">
        <f>IF(ISBLANK(Distance Control_1),"",Control_1 Distance)</f>
        <v>0</v>
      </c>
      <c r="B4" s="46">
        <f>Control_1 Open_time</f>
        <v>0.3333333333333333</v>
      </c>
      <c r="C4" s="46">
        <f>Control_1 Close_time</f>
        <v>0.375</v>
      </c>
      <c r="D4" s="47">
        <f>IF(ISBLANK(Locale Control_1),"",Locale Control_1)</f>
        <v>0</v>
      </c>
      <c r="E4" s="41">
        <f>IF(ISBLANK(Control_1 Establishment_2),"",Control_1 Establishment_2)</f>
        <v>0</v>
      </c>
      <c r="F4" s="42"/>
      <c r="G4" s="43"/>
      <c r="H4" s="11" t="s">
        <v>54</v>
      </c>
      <c r="K4" s="44"/>
      <c r="N4" s="37"/>
    </row>
    <row r="5" spans="1:11" ht="36" customHeight="1">
      <c r="A5" s="48"/>
      <c r="B5" s="49">
        <f>Control_1 Open_time</f>
        <v>0.3333333333333333</v>
      </c>
      <c r="C5" s="49">
        <f>Control_1 Close_time</f>
        <v>0.375</v>
      </c>
      <c r="D5" s="50"/>
      <c r="E5" s="51">
        <f>IF(ISBLANK(Control_1 Establishment_3),"",Control_1 Establishment_3)</f>
        <v>0</v>
      </c>
      <c r="F5" s="52"/>
      <c r="G5" s="53"/>
      <c r="H5" s="11" t="s">
        <v>54</v>
      </c>
      <c r="K5" s="44"/>
    </row>
    <row r="6" spans="1:11" ht="36" customHeight="1">
      <c r="A6" s="38"/>
      <c r="B6" s="39">
        <f>Control_2 Open_time</f>
        <v>0.3909722222222222</v>
      </c>
      <c r="C6" s="39">
        <f>Control_2 Close_time</f>
        <v>0.4708333333333333</v>
      </c>
      <c r="D6" s="54"/>
      <c r="E6" s="41">
        <f>IF(ISBLANK(Control_2 Establishment_1),"",Control_2 Establishment_1)</f>
        <v>0</v>
      </c>
      <c r="F6" s="42"/>
      <c r="G6" s="43"/>
      <c r="H6" s="11" t="s">
        <v>54</v>
      </c>
      <c r="K6" s="44"/>
    </row>
    <row r="7" spans="1:11" ht="36" customHeight="1">
      <c r="A7" s="45">
        <f>IF(ISBLANK(Distance Control_2),"",Control_2 Distance)</f>
        <v>47.2</v>
      </c>
      <c r="B7" s="46">
        <f>Control_2 Open_time</f>
        <v>0.3909722222222222</v>
      </c>
      <c r="C7" s="46">
        <f>Control_2 Close_time</f>
        <v>0.4708333333333333</v>
      </c>
      <c r="D7" s="47">
        <f>IF(ISBLANK(Locale Control_2),"",Locale Control_2)</f>
        <v>0</v>
      </c>
      <c r="E7" s="41">
        <f>IF(ISBLANK(Control_2 Establishment_2),"",Control_2 Establishment_2)</f>
        <v>0</v>
      </c>
      <c r="F7" s="42"/>
      <c r="G7" s="43"/>
      <c r="H7" s="11" t="s">
        <v>54</v>
      </c>
      <c r="K7" s="44"/>
    </row>
    <row r="8" spans="1:20" ht="36" customHeight="1">
      <c r="A8" s="48"/>
      <c r="B8" s="49">
        <f>Control_2 Open_time</f>
        <v>0.3909722222222222</v>
      </c>
      <c r="C8" s="49">
        <f>Control_2 Close_time</f>
        <v>0.4708333333333333</v>
      </c>
      <c r="D8" s="50"/>
      <c r="E8" s="51">
        <f>IF(ISBLANK(Control_2 Establishment_3),"",Control_2 Establishment_3)</f>
        <v>0</v>
      </c>
      <c r="F8" s="52"/>
      <c r="G8" s="53"/>
      <c r="H8" s="11" t="s">
        <v>54</v>
      </c>
      <c r="J8" s="55" t="s">
        <v>59</v>
      </c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19" ht="36" customHeight="1">
      <c r="A9" s="38"/>
      <c r="B9" s="39">
        <f>Control_3 Open_time</f>
        <v>0.43124999999999997</v>
      </c>
      <c r="C9" s="39">
        <f>Control_3 Close_time</f>
        <v>0.5659722222222222</v>
      </c>
      <c r="D9" s="54"/>
      <c r="E9" s="41">
        <f>IF(ISBLANK(Control_3 Establishment_1),"",Control_3 Establishment_1)</f>
        <v>0</v>
      </c>
      <c r="F9" s="42"/>
      <c r="G9" s="43"/>
      <c r="H9" s="11" t="s">
        <v>54</v>
      </c>
      <c r="J9" s="56">
        <f>IF(ISBLANK(brevet),"",brevet&amp;" km Randonnée")</f>
        <v>0</v>
      </c>
      <c r="K9" s="56"/>
      <c r="L9" s="56"/>
      <c r="M9" s="56"/>
      <c r="N9" s="56"/>
      <c r="O9" s="56"/>
      <c r="P9" s="56"/>
      <c r="Q9" s="56"/>
      <c r="R9" s="56"/>
      <c r="S9" s="56"/>
    </row>
    <row r="10" spans="1:20" ht="36" customHeight="1">
      <c r="A10" s="45">
        <f>IF(ISBLANK(Distance Control_3),"",Control_3 Distance)</f>
        <v>79.8</v>
      </c>
      <c r="B10" s="46">
        <f>Control_3 Open_time</f>
        <v>0.43124999999999997</v>
      </c>
      <c r="C10" s="46">
        <f>Control_3 Close_time</f>
        <v>0.5659722222222222</v>
      </c>
      <c r="D10" s="47">
        <f>IF(ISBLANK(Locale Control_3),"",Locale Control_3)</f>
        <v>0</v>
      </c>
      <c r="E10" s="41">
        <f>IF(ISBLANK(Control_3 Establishment_2),"",Control_3 Establishment_2)</f>
        <v>0</v>
      </c>
      <c r="F10" s="42"/>
      <c r="G10" s="43"/>
      <c r="H10" s="11" t="s">
        <v>54</v>
      </c>
      <c r="J10" s="57">
        <f>IF(ISBLANK(Brevet_Description),"",Brevet_Description)</f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36" customHeight="1">
      <c r="A11" s="48"/>
      <c r="B11" s="49">
        <f>Control_3 Open_time</f>
        <v>0.43124999999999997</v>
      </c>
      <c r="C11" s="49">
        <f>Control_3 Close_time</f>
        <v>0.5659722222222222</v>
      </c>
      <c r="D11" s="50"/>
      <c r="E11" s="51">
        <f>IF(ISBLANK(Control_3 Establishment_3),"",Control_3 Establishment_3)</f>
        <v>0</v>
      </c>
      <c r="F11" s="52"/>
      <c r="G11" s="53"/>
      <c r="H11" s="11" t="s">
        <v>54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36" customHeight="1">
      <c r="A12" s="38"/>
      <c r="B12" s="39">
        <f>Control_4 Open_time</f>
        <v>0.47638888888888886</v>
      </c>
      <c r="C12" s="39">
        <f>Control_4 Close_time</f>
        <v>0.6743055555555555</v>
      </c>
      <c r="D12" s="54"/>
      <c r="E12" s="41">
        <f>IF(ISBLANK(Control_4 Establishment_1),"",Control_4 Establishment_1)</f>
        <v>0</v>
      </c>
      <c r="F12" s="42"/>
      <c r="G12" s="43"/>
      <c r="H12" s="11" t="s">
        <v>54</v>
      </c>
      <c r="J12" s="59" t="s">
        <v>60</v>
      </c>
      <c r="L12" s="60" t="str">
        <f>IF(ISBLANK(surname),"",First_Name&amp;" "&amp;Initial&amp;" "&amp;surname)</f>
        <v>  </v>
      </c>
      <c r="M12" s="61"/>
      <c r="N12" s="61"/>
      <c r="O12" s="61"/>
      <c r="P12" s="61"/>
      <c r="Q12" s="61"/>
      <c r="R12" s="61"/>
      <c r="S12" s="61"/>
      <c r="T12" s="62"/>
    </row>
    <row r="13" spans="1:20" ht="36" customHeight="1">
      <c r="A13" s="45">
        <f>IF(ISBLANK(Distance Control_4),"",Control_4 Distance)</f>
        <v>117</v>
      </c>
      <c r="B13" s="46">
        <f>Control_4 Open_time</f>
        <v>0.47638888888888886</v>
      </c>
      <c r="C13" s="46">
        <f>Control_4 Close_time</f>
        <v>0.6743055555555555</v>
      </c>
      <c r="D13" s="47">
        <f>IF(ISBLANK(Locale Control_4),"",Locale Control_4)</f>
        <v>0</v>
      </c>
      <c r="E13" s="41">
        <f>IF(ISBLANK(Control_4 Establishment_2),"",Control_4 Establishment_2)</f>
        <v>0</v>
      </c>
      <c r="F13" s="42"/>
      <c r="G13" s="43"/>
      <c r="H13" s="11" t="s">
        <v>54</v>
      </c>
      <c r="J13" s="59" t="s">
        <v>61</v>
      </c>
      <c r="K13" s="59"/>
      <c r="L13" s="63">
        <f>IF(ISBLANK(Address_1),"",Address_1)</f>
      </c>
      <c r="M13" s="64"/>
      <c r="N13" s="64"/>
      <c r="O13" s="64"/>
      <c r="P13" s="64"/>
      <c r="Q13" s="64"/>
      <c r="R13" s="64"/>
      <c r="S13" s="64"/>
      <c r="T13" s="65"/>
    </row>
    <row r="14" spans="1:20" ht="36" customHeight="1">
      <c r="A14" s="48"/>
      <c r="B14" s="49">
        <f>Control_4 Open_time</f>
        <v>0.47638888888888886</v>
      </c>
      <c r="C14" s="49">
        <f>Control_4 Close_time</f>
        <v>0.6743055555555555</v>
      </c>
      <c r="D14" s="50"/>
      <c r="E14" s="51">
        <f>IF(ISBLANK(Control_4 Establishment_3),"",Control_4 Establishment_3)</f>
        <v>0</v>
      </c>
      <c r="F14" s="52"/>
      <c r="G14" s="53"/>
      <c r="H14" s="11" t="s">
        <v>54</v>
      </c>
      <c r="J14" s="59"/>
      <c r="K14" s="59"/>
      <c r="L14" s="63">
        <f>IF(ISBLANK(Address_2),"",Address_2)</f>
      </c>
      <c r="M14" s="64"/>
      <c r="N14" s="64"/>
      <c r="O14" s="64"/>
      <c r="P14" s="64"/>
      <c r="Q14" s="64"/>
      <c r="R14" s="64"/>
      <c r="S14" s="64"/>
      <c r="T14" s="65"/>
    </row>
    <row r="15" spans="1:20" ht="36" customHeight="1">
      <c r="A15" s="38"/>
      <c r="B15" s="39">
        <f>Control_5 Open_time</f>
        <v>0.523611111111111</v>
      </c>
      <c r="C15" s="39">
        <f>Control_5 Close_time</f>
        <v>0.7861111111111111</v>
      </c>
      <c r="D15" s="54"/>
      <c r="E15" s="41">
        <f>IF(ISBLANK(Control_5 Establishment_1),"",Control_5 Establishment_1)</f>
        <v>0</v>
      </c>
      <c r="F15" s="42"/>
      <c r="G15" s="43"/>
      <c r="H15" s="11" t="s">
        <v>54</v>
      </c>
      <c r="J15" s="59" t="s">
        <v>62</v>
      </c>
      <c r="K15" s="59"/>
      <c r="L15" s="63">
        <f>IF(ISBLANK(City),"",City)</f>
      </c>
      <c r="M15" s="64"/>
      <c r="N15" s="64"/>
      <c r="O15" s="66"/>
      <c r="P15" s="66" t="s">
        <v>63</v>
      </c>
      <c r="Q15" s="66"/>
      <c r="R15" s="66"/>
      <c r="S15" s="63">
        <f>IF(ISBLANK(Province_State),"",Province_State)</f>
      </c>
      <c r="T15" s="65"/>
    </row>
    <row r="16" spans="1:20" ht="36" customHeight="1">
      <c r="A16" s="45">
        <f>IF(ISBLANK(Distance Control_5),"",Control_5 Distance)</f>
        <v>155.2</v>
      </c>
      <c r="B16" s="46">
        <f>Control_5 Open_time</f>
        <v>0.523611111111111</v>
      </c>
      <c r="C16" s="46">
        <f>Control_5 Close_time</f>
        <v>0.7861111111111111</v>
      </c>
      <c r="D16" s="47">
        <f>IF(ISBLANK(Locale Control_5),"",Locale Control_5)</f>
        <v>0</v>
      </c>
      <c r="E16" s="41">
        <f>IF(ISBLANK(Control_5 Establishment_2),"",Control_5 Establishment_2)</f>
        <v>0</v>
      </c>
      <c r="F16" s="42"/>
      <c r="G16" s="43"/>
      <c r="H16" s="11" t="s">
        <v>54</v>
      </c>
      <c r="J16" s="59" t="s">
        <v>64</v>
      </c>
      <c r="K16" s="59"/>
      <c r="L16" s="63">
        <f>IF(ISBLANK(Country),"",Country)</f>
      </c>
      <c r="M16" s="64"/>
      <c r="N16" s="64"/>
      <c r="O16" s="66"/>
      <c r="P16" s="66" t="s">
        <v>65</v>
      </c>
      <c r="Q16" s="66"/>
      <c r="R16" s="66"/>
      <c r="S16" s="63">
        <f>IF(ISBLANK(Postal_Code),"",Postal_Code)</f>
      </c>
      <c r="T16" s="65"/>
    </row>
    <row r="17" spans="1:19" ht="36" customHeight="1">
      <c r="A17" s="48"/>
      <c r="B17" s="49">
        <f>Control_5 Open_time</f>
        <v>0.523611111111111</v>
      </c>
      <c r="C17" s="49">
        <f>Control_5 Close_time</f>
        <v>0.7861111111111111</v>
      </c>
      <c r="D17" s="50"/>
      <c r="E17" s="51">
        <f>IF(ISBLANK(Control_5 Establishment_3),"",Control_5 Establishment_3)</f>
        <v>0</v>
      </c>
      <c r="F17" s="52"/>
      <c r="G17" s="53"/>
      <c r="H17" s="11" t="s">
        <v>54</v>
      </c>
      <c r="L17" s="67"/>
      <c r="M17" s="68"/>
      <c r="N17" s="68"/>
      <c r="O17" s="68"/>
      <c r="P17" s="68"/>
      <c r="Q17" s="68"/>
      <c r="R17" s="68"/>
      <c r="S17" s="68"/>
    </row>
    <row r="18" spans="1:20" ht="36" customHeight="1">
      <c r="A18" s="38"/>
      <c r="B18" s="39">
        <f>Control_6 Open_time</f>
        <v>0.5847222222222221</v>
      </c>
      <c r="C18" s="39">
        <f>Control_6 Close_time</f>
        <v>0.9166666666666667</v>
      </c>
      <c r="D18" s="54"/>
      <c r="E18" s="41">
        <f>IF(ISBLANK(Control_6 Establishment_1),"",Control_6 Establishment_1)</f>
        <v>0</v>
      </c>
      <c r="F18" s="42"/>
      <c r="G18" s="43"/>
      <c r="H18" s="11" t="s">
        <v>54</v>
      </c>
      <c r="J18" s="59" t="s">
        <v>66</v>
      </c>
      <c r="L18" s="69">
        <f>IF(ISBLANK(Home_telephone),"",Home_telephone)</f>
      </c>
      <c r="M18" s="69"/>
      <c r="N18" s="69"/>
      <c r="O18" s="68"/>
      <c r="P18" s="66" t="s">
        <v>67</v>
      </c>
      <c r="Q18" s="70">
        <f>IF(ISBLANK(email),"",email)</f>
      </c>
      <c r="R18" s="71"/>
      <c r="S18" s="71"/>
      <c r="T18" s="72"/>
    </row>
    <row r="19" spans="1:19" ht="36" customHeight="1">
      <c r="A19" s="45">
        <f>IF(ISBLANK(Distance Control_6),"",Control_6 Distance)</f>
        <v>204.9</v>
      </c>
      <c r="B19" s="46">
        <f>Control_6 Open_time</f>
        <v>0.5847222222222221</v>
      </c>
      <c r="C19" s="46">
        <f>Control_6 Close_time</f>
        <v>0.9166666666666667</v>
      </c>
      <c r="D19" s="47">
        <f>IF(ISBLANK(Locale Control_6),"",Locale Control_6)</f>
        <v>0</v>
      </c>
      <c r="E19" s="41">
        <f>IF(ISBLANK(Control_6 Establishment_2),"",Control_6 Establishment_2)</f>
        <v>0</v>
      </c>
      <c r="F19" s="42"/>
      <c r="G19" s="43"/>
      <c r="H19" s="11" t="s">
        <v>54</v>
      </c>
      <c r="L19" s="68"/>
      <c r="M19" s="68"/>
      <c r="N19" s="68"/>
      <c r="O19" s="68"/>
      <c r="P19" s="68"/>
      <c r="Q19" s="68"/>
      <c r="R19" s="68"/>
      <c r="S19" s="68"/>
    </row>
    <row r="20" spans="1:20" ht="36" customHeight="1">
      <c r="A20" s="48"/>
      <c r="B20" s="49">
        <f>Control_6 Open_time</f>
        <v>0.5847222222222221</v>
      </c>
      <c r="C20" s="49">
        <f>Control_6 Close_time</f>
        <v>0.9166666666666667</v>
      </c>
      <c r="D20" s="50"/>
      <c r="E20" s="51">
        <f>IF(ISBLANK(Control_6 Establishment_3),"",Control_6 Establishment_3)</f>
        <v>0</v>
      </c>
      <c r="F20" s="52"/>
      <c r="G20" s="53"/>
      <c r="H20" s="11" t="s">
        <v>54</v>
      </c>
      <c r="J20" s="73" t="s">
        <v>68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36" customHeight="1">
      <c r="A21" s="38"/>
      <c r="B21" s="39">
        <f>Control_7 Open_time</f>
        <v>0</v>
      </c>
      <c r="C21" s="39">
        <f>Control_7 Close_time</f>
        <v>0</v>
      </c>
      <c r="D21" s="54"/>
      <c r="E21" s="41">
        <f>IF(ISBLANK(Control_7 Establishment_1),"",Control_7 Establishment_1)</f>
        <v>0</v>
      </c>
      <c r="F21" s="42"/>
      <c r="G21" s="43"/>
      <c r="H21" s="11" t="s">
        <v>54</v>
      </c>
      <c r="J21" s="73" t="s">
        <v>69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19" ht="36" customHeight="1">
      <c r="A22" s="74">
        <f>IF(ISBLANK(Distance Control_7),"",Control_7 Distance)</f>
      </c>
      <c r="B22" s="75">
        <f>Control_7 Open_time</f>
        <v>0</v>
      </c>
      <c r="C22" s="75">
        <f>Control_7 Close_time</f>
        <v>0</v>
      </c>
      <c r="D22" s="41">
        <f>IF(ISBLANK(Locale Control_7),"",Locale Control_7)</f>
        <v>0</v>
      </c>
      <c r="E22" s="41">
        <f>IF(ISBLANK(Control_7 Establishment_2),"",Control_7 Establishment_2)</f>
        <v>0</v>
      </c>
      <c r="F22" s="42"/>
      <c r="G22" s="43"/>
      <c r="H22" s="11" t="s">
        <v>54</v>
      </c>
      <c r="L22" s="68"/>
      <c r="M22" s="68"/>
      <c r="N22" s="68"/>
      <c r="O22" s="68"/>
      <c r="P22" s="68"/>
      <c r="Q22" s="68"/>
      <c r="R22" s="68"/>
      <c r="S22" s="68"/>
    </row>
    <row r="23" spans="1:20" ht="36" customHeight="1">
      <c r="A23" s="48"/>
      <c r="B23" s="49">
        <f>Control_7 Open_time</f>
        <v>0</v>
      </c>
      <c r="C23" s="49">
        <f>Control_7 Close_time</f>
        <v>0</v>
      </c>
      <c r="D23" s="50"/>
      <c r="E23" s="51">
        <f>IF(ISBLANK(Control_7 Establishment_3),"",Control_7 Establishment_3)</f>
        <v>0</v>
      </c>
      <c r="F23" s="52"/>
      <c r="G23" s="53"/>
      <c r="H23" s="11" t="s">
        <v>54</v>
      </c>
      <c r="J23" s="76" t="s">
        <v>70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0" ht="36" customHeight="1">
      <c r="A24" s="38"/>
      <c r="B24" s="39">
        <f>Control_8 Open_time</f>
        <v>0</v>
      </c>
      <c r="C24" s="39">
        <f>Control_8 Close_time</f>
        <v>0</v>
      </c>
      <c r="D24" s="54"/>
      <c r="E24" s="41">
        <f>IF(ISBLANK(Control_8 Establishment_1),"",Control_8 Establishment_1)</f>
        <v>0</v>
      </c>
      <c r="F24" s="42"/>
      <c r="G24" s="43"/>
      <c r="H24" s="11" t="s">
        <v>54</v>
      </c>
      <c r="J24" s="59" t="s">
        <v>71</v>
      </c>
      <c r="K24" s="77">
        <f>IF(ISBLANK(Start_date),"",Start_date)</f>
      </c>
      <c r="L24" s="77"/>
      <c r="M24" s="77"/>
      <c r="N24" s="68"/>
      <c r="O24" s="66" t="s">
        <v>72</v>
      </c>
      <c r="P24" s="68"/>
      <c r="Q24" s="71"/>
      <c r="R24" s="71"/>
      <c r="S24" s="71"/>
      <c r="T24" s="78"/>
    </row>
    <row r="25" spans="1:20" ht="36" customHeight="1">
      <c r="A25" s="74">
        <f>IF(ISBLANK(Distance Control_8),"",Control_8 Distance)</f>
      </c>
      <c r="B25" s="75">
        <f>Control_8 Open_time</f>
        <v>0</v>
      </c>
      <c r="C25" s="75">
        <f>Control_8 Close_time</f>
        <v>0</v>
      </c>
      <c r="D25" s="41">
        <f>IF(ISBLANK(Locale Control_8),"",Locale Control_8)</f>
        <v>0</v>
      </c>
      <c r="E25" s="41">
        <f>IF(ISBLANK(Control_8 Establishment_2),"",Control_8 Establishment_2)</f>
        <v>0</v>
      </c>
      <c r="F25" s="42"/>
      <c r="G25" s="43"/>
      <c r="H25" s="11" t="s">
        <v>54</v>
      </c>
      <c r="L25" s="68"/>
      <c r="M25" s="68"/>
      <c r="N25" s="68"/>
      <c r="O25" s="66" t="s">
        <v>73</v>
      </c>
      <c r="P25" s="68"/>
      <c r="Q25" s="71"/>
      <c r="R25" s="71"/>
      <c r="S25" s="71"/>
      <c r="T25" s="78"/>
    </row>
    <row r="26" spans="1:20" ht="36" customHeight="1">
      <c r="A26" s="48"/>
      <c r="B26" s="49">
        <f>Control_8 Open_time</f>
        <v>0</v>
      </c>
      <c r="C26" s="49">
        <f>Control_8 Close_time</f>
        <v>0</v>
      </c>
      <c r="D26" s="50"/>
      <c r="E26" s="51">
        <f>IF(ISBLANK(Control_8 Establishment_3),"",Control_8 Establishment_3)</f>
        <v>0</v>
      </c>
      <c r="F26" s="52"/>
      <c r="G26" s="53"/>
      <c r="H26" s="11" t="s">
        <v>54</v>
      </c>
      <c r="J26" s="78"/>
      <c r="K26" s="78"/>
      <c r="L26" s="71"/>
      <c r="M26" s="71"/>
      <c r="N26" s="68"/>
      <c r="O26" s="66" t="s">
        <v>74</v>
      </c>
      <c r="P26" s="68"/>
      <c r="Q26" s="71"/>
      <c r="R26" s="71"/>
      <c r="S26" s="71"/>
      <c r="T26" s="78"/>
    </row>
    <row r="27" spans="1:19" ht="36" customHeight="1">
      <c r="A27" s="38"/>
      <c r="B27" s="39">
        <f>Control_9 Open_time</f>
        <v>0</v>
      </c>
      <c r="C27" s="39">
        <f>Control_9 Close_time</f>
        <v>0</v>
      </c>
      <c r="D27" s="54"/>
      <c r="E27" s="41">
        <f>IF(ISBLANK(Control_9 Establishment_1),"",Control_9 Establishment_1)</f>
        <v>0</v>
      </c>
      <c r="F27" s="42"/>
      <c r="G27" s="43"/>
      <c r="H27" s="11" t="s">
        <v>54</v>
      </c>
      <c r="J27" s="79" t="s">
        <v>75</v>
      </c>
      <c r="K27" s="79"/>
      <c r="L27" s="79"/>
      <c r="M27" s="79"/>
      <c r="N27" s="68"/>
      <c r="O27" s="68"/>
      <c r="P27" s="68"/>
      <c r="Q27" s="68"/>
      <c r="R27" s="68"/>
      <c r="S27" s="68"/>
    </row>
    <row r="28" spans="1:19" ht="36" customHeight="1">
      <c r="A28" s="74">
        <f>IF(ISBLANK(Distance Control_9),"",Control_9 Distance)</f>
      </c>
      <c r="B28" s="75">
        <f>Control_9 Open_time</f>
        <v>0</v>
      </c>
      <c r="C28" s="75">
        <f>Control_9 Close_time</f>
        <v>0</v>
      </c>
      <c r="D28" s="41">
        <f>IF(ISBLANK(Locale Control_9),"",Locale Control_9)</f>
        <v>0</v>
      </c>
      <c r="E28" s="41">
        <f>IF(ISBLANK(Control_9 Establishment_2),"",Control_9 Establishment_2)</f>
        <v>0</v>
      </c>
      <c r="F28" s="42"/>
      <c r="G28" s="43"/>
      <c r="H28" s="11" t="s">
        <v>54</v>
      </c>
      <c r="L28" s="80" t="s">
        <v>76</v>
      </c>
      <c r="M28" s="80"/>
      <c r="N28" s="80"/>
      <c r="O28" s="80"/>
      <c r="P28" s="80"/>
      <c r="Q28" s="80"/>
      <c r="R28" s="68"/>
      <c r="S28" s="68"/>
    </row>
    <row r="29" spans="1:19" ht="36" customHeight="1">
      <c r="A29" s="48"/>
      <c r="B29" s="49">
        <f>Control_9 Open_time</f>
        <v>0</v>
      </c>
      <c r="C29" s="49">
        <f>Control_9 Close_time</f>
        <v>0</v>
      </c>
      <c r="D29" s="50"/>
      <c r="E29" s="51">
        <f>IF(ISBLANK(Control_9 Establishment_3),"",Control_9 Establishment_3)</f>
        <v>0</v>
      </c>
      <c r="F29" s="52"/>
      <c r="G29" s="53"/>
      <c r="H29" s="11" t="s">
        <v>54</v>
      </c>
      <c r="K29" s="81"/>
      <c r="L29" s="82"/>
      <c r="M29" s="82"/>
      <c r="N29" s="83"/>
      <c r="O29" s="84"/>
      <c r="P29" s="82"/>
      <c r="Q29" s="82"/>
      <c r="R29" s="83"/>
      <c r="S29" s="68"/>
    </row>
    <row r="30" spans="1:19" ht="36" customHeight="1">
      <c r="A30" s="38"/>
      <c r="B30" s="39">
        <f>Control_10 Open_time</f>
        <v>0</v>
      </c>
      <c r="C30" s="39">
        <f>Control_10 Close_time</f>
        <v>0</v>
      </c>
      <c r="D30" s="54"/>
      <c r="E30" s="41">
        <f>IF(ISBLANK(Control_10 Establishment_1),"",Control_10 Establishment_1)</f>
        <v>0</v>
      </c>
      <c r="F30" s="42"/>
      <c r="G30" s="43"/>
      <c r="H30" s="11" t="s">
        <v>54</v>
      </c>
      <c r="K30" s="85"/>
      <c r="L30" s="86"/>
      <c r="M30" s="86"/>
      <c r="N30" s="87"/>
      <c r="O30" s="88"/>
      <c r="P30" s="86"/>
      <c r="Q30" s="86"/>
      <c r="R30" s="87"/>
      <c r="S30" s="89"/>
    </row>
    <row r="31" spans="1:21" ht="36" customHeight="1">
      <c r="A31" s="74">
        <f>IF(ISBLANK(Distance Control_10),"",Control_10 Distance)</f>
      </c>
      <c r="B31" s="75">
        <f>Control_10 Open_time</f>
        <v>0</v>
      </c>
      <c r="C31" s="75">
        <f>Control_10 Close_time</f>
        <v>0</v>
      </c>
      <c r="D31" s="41">
        <f>IF(ISBLANK(Locale Control_10),"",Locale Control_10)</f>
        <v>0</v>
      </c>
      <c r="E31" s="41">
        <f>IF(ISBLANK(Control_10 Establishment_2),"",Control_10 Establishment_2)</f>
        <v>0</v>
      </c>
      <c r="F31" s="42"/>
      <c r="G31" s="43"/>
      <c r="H31" s="11" t="s">
        <v>54</v>
      </c>
      <c r="K31" s="90"/>
      <c r="L31" s="71"/>
      <c r="M31" s="71"/>
      <c r="N31" s="91"/>
      <c r="O31" s="92"/>
      <c r="P31" s="71"/>
      <c r="Q31" s="71"/>
      <c r="R31" s="91"/>
      <c r="S31" s="68"/>
      <c r="U31" s="93"/>
    </row>
    <row r="32" spans="1:21" ht="36" customHeight="1">
      <c r="A32" s="48"/>
      <c r="B32" s="49">
        <f>Control_10 Open_time</f>
        <v>0</v>
      </c>
      <c r="C32" s="49">
        <f>Control_10 Close_time</f>
        <v>0</v>
      </c>
      <c r="D32" s="50"/>
      <c r="E32" s="51">
        <f>IF(ISBLANK(Control_10 Establishment_3),"",Control_10 Establishment_3)</f>
        <v>0</v>
      </c>
      <c r="F32" s="52"/>
      <c r="G32" s="53"/>
      <c r="H32" s="11" t="s">
        <v>54</v>
      </c>
      <c r="L32" s="66" t="s">
        <v>77</v>
      </c>
      <c r="M32" s="68"/>
      <c r="N32" s="64" t="str">
        <f>IF(ISBLANK(Brevet_Number),"",Brevet_Number)</f>
        <v>VI0203A</v>
      </c>
      <c r="O32" s="64"/>
      <c r="P32" s="64"/>
      <c r="Q32" s="68"/>
      <c r="R32" s="68"/>
      <c r="S32" s="68"/>
      <c r="U32" s="93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94"/>
      <c r="B1" s="95" t="s">
        <v>78</v>
      </c>
      <c r="C1" s="95" t="s">
        <v>79</v>
      </c>
      <c r="D1" s="95" t="s">
        <v>80</v>
      </c>
      <c r="E1" s="95" t="s">
        <v>81</v>
      </c>
      <c r="F1" s="95" t="s">
        <v>82</v>
      </c>
      <c r="G1" s="95" t="s">
        <v>62</v>
      </c>
      <c r="H1" s="96" t="s">
        <v>63</v>
      </c>
      <c r="I1" s="95" t="s">
        <v>64</v>
      </c>
      <c r="J1" s="95" t="s">
        <v>65</v>
      </c>
      <c r="K1" s="97" t="s">
        <v>83</v>
      </c>
      <c r="L1" s="97" t="s">
        <v>84</v>
      </c>
      <c r="M1" s="98" t="s">
        <v>85</v>
      </c>
      <c r="N1" s="99" t="s">
        <v>67</v>
      </c>
      <c r="O1" s="100" t="s">
        <v>86</v>
      </c>
      <c r="P1" s="100" t="s">
        <v>87</v>
      </c>
      <c r="Q1" s="100" t="s">
        <v>88</v>
      </c>
      <c r="R1" s="100" t="s">
        <v>89</v>
      </c>
    </row>
    <row r="2" spans="1:18" ht="12.75">
      <c r="A2" s="94"/>
      <c r="B2" s="101">
        <f aca="true" t="shared" si="0" ref="B2:N2">IF(ISBLANK(B3),"",B3)</f>
      </c>
      <c r="C2" s="101">
        <f t="shared" si="0"/>
      </c>
      <c r="D2" s="101">
        <f t="shared" si="0"/>
      </c>
      <c r="E2" s="101">
        <f t="shared" si="0"/>
      </c>
      <c r="F2" s="101">
        <f t="shared" si="0"/>
      </c>
      <c r="G2" s="101">
        <f t="shared" si="0"/>
      </c>
      <c r="H2" s="101">
        <f t="shared" si="0"/>
      </c>
      <c r="I2" s="101">
        <f t="shared" si="0"/>
      </c>
      <c r="J2" s="101">
        <f t="shared" si="0"/>
      </c>
      <c r="K2" s="102">
        <f t="shared" si="0"/>
      </c>
      <c r="L2" s="102">
        <f t="shared" si="0"/>
      </c>
      <c r="M2" s="102">
        <f t="shared" si="0"/>
      </c>
      <c r="N2" s="101">
        <f t="shared" si="0"/>
      </c>
      <c r="O2" s="103"/>
      <c r="P2" s="103"/>
      <c r="Q2" s="103"/>
      <c r="R2" s="103"/>
    </row>
    <row r="3" spans="1:18" ht="12.75">
      <c r="A3" s="104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106"/>
      <c r="M3" s="106"/>
      <c r="N3" s="105"/>
      <c r="O3" s="107"/>
      <c r="P3" s="107"/>
      <c r="Q3" s="107"/>
      <c r="R3" s="107"/>
    </row>
    <row r="4" spans="2:18" ht="12.75"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106"/>
      <c r="M4" s="106"/>
      <c r="N4" s="105"/>
      <c r="O4" s="108"/>
      <c r="P4" s="108"/>
      <c r="Q4" s="108"/>
      <c r="R4" s="107"/>
    </row>
    <row r="5" spans="1:18" ht="12.7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06"/>
      <c r="M5" s="106"/>
      <c r="N5" s="105"/>
      <c r="O5" s="107"/>
      <c r="P5" s="107"/>
      <c r="Q5" s="107"/>
      <c r="R5" s="107"/>
    </row>
    <row r="6" spans="1:18" ht="12.7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106"/>
      <c r="M6" s="106"/>
      <c r="N6" s="105"/>
      <c r="O6" s="107"/>
      <c r="P6" s="107"/>
      <c r="Q6" s="107"/>
      <c r="R6" s="107"/>
    </row>
    <row r="7" spans="2:18" ht="12.75">
      <c r="B7" s="105"/>
      <c r="C7" s="105"/>
      <c r="D7" s="105"/>
      <c r="E7" s="105"/>
      <c r="F7" s="105"/>
      <c r="G7" s="105"/>
      <c r="H7" s="105"/>
      <c r="I7" s="105"/>
      <c r="J7" s="105"/>
      <c r="K7" s="106"/>
      <c r="L7" s="106"/>
      <c r="M7" s="106"/>
      <c r="N7" s="105"/>
      <c r="O7" s="108"/>
      <c r="P7" s="108"/>
      <c r="Q7" s="108"/>
      <c r="R7" s="107"/>
    </row>
    <row r="8" spans="1:18" ht="12.7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06"/>
      <c r="M8" s="106"/>
      <c r="N8" s="105"/>
      <c r="O8" s="107"/>
      <c r="P8" s="107"/>
      <c r="Q8" s="107"/>
      <c r="R8" s="107"/>
    </row>
    <row r="9" spans="2:18" ht="12.75">
      <c r="B9" s="105"/>
      <c r="C9" s="105"/>
      <c r="D9" s="105"/>
      <c r="E9" s="105"/>
      <c r="F9" s="105"/>
      <c r="G9" s="105"/>
      <c r="H9" s="105"/>
      <c r="I9" s="105"/>
      <c r="J9" s="105"/>
      <c r="K9" s="106"/>
      <c r="L9" s="106"/>
      <c r="M9" s="106"/>
      <c r="N9" s="105"/>
      <c r="O9" s="108"/>
      <c r="P9" s="108"/>
      <c r="Q9" s="108"/>
      <c r="R9" s="107"/>
    </row>
    <row r="10" spans="1:18" ht="12.75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6"/>
      <c r="L10" s="106"/>
      <c r="M10" s="106"/>
      <c r="N10" s="105"/>
      <c r="O10" s="107"/>
      <c r="P10" s="107"/>
      <c r="Q10" s="107"/>
      <c r="R10" s="107"/>
    </row>
    <row r="11" spans="2:18" ht="12.75">
      <c r="B11" s="105"/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105"/>
      <c r="O11" s="108"/>
      <c r="P11" s="108"/>
      <c r="Q11" s="108"/>
      <c r="R11" s="107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106"/>
      <c r="M12" s="106"/>
      <c r="N12" s="105"/>
      <c r="O12" s="107"/>
      <c r="P12" s="107"/>
      <c r="Q12" s="107"/>
      <c r="R12" s="107"/>
    </row>
    <row r="13" spans="1:18" ht="12.75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6"/>
      <c r="L13" s="106"/>
      <c r="M13" s="106"/>
      <c r="N13" s="105"/>
      <c r="O13" s="107"/>
      <c r="P13" s="107"/>
      <c r="Q13" s="107"/>
      <c r="R13" s="107"/>
    </row>
    <row r="14" spans="1:18" ht="12.75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6"/>
      <c r="L14" s="106"/>
      <c r="M14" s="106"/>
      <c r="N14" s="105"/>
      <c r="O14" s="107"/>
      <c r="P14" s="107"/>
      <c r="Q14" s="107"/>
      <c r="R14" s="107"/>
    </row>
    <row r="15" spans="1:18" ht="12.7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6"/>
      <c r="L15" s="106"/>
      <c r="M15" s="106"/>
      <c r="N15" s="105"/>
      <c r="O15" s="107"/>
      <c r="P15" s="107"/>
      <c r="Q15" s="107"/>
      <c r="R15" s="107"/>
    </row>
    <row r="16" spans="1:18" ht="12.7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106"/>
      <c r="M16" s="106"/>
      <c r="N16" s="105"/>
      <c r="O16" s="107"/>
      <c r="P16" s="107"/>
      <c r="Q16" s="107"/>
      <c r="R16" s="107"/>
    </row>
    <row r="17" spans="1:18" ht="12.7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9"/>
      <c r="L17" s="106"/>
      <c r="M17" s="106"/>
      <c r="N17" s="105"/>
      <c r="O17" s="107"/>
      <c r="P17" s="107"/>
      <c r="Q17" s="107"/>
      <c r="R17" s="107"/>
    </row>
    <row r="18" spans="1:18" ht="12.75">
      <c r="A18" s="104"/>
      <c r="B18" s="105"/>
      <c r="C18" s="105"/>
      <c r="D18" s="105"/>
      <c r="E18" s="110"/>
      <c r="F18" s="105"/>
      <c r="G18" s="105"/>
      <c r="H18" s="105"/>
      <c r="I18" s="105"/>
      <c r="J18" s="105"/>
      <c r="K18" s="106"/>
      <c r="L18" s="106"/>
      <c r="M18" s="106"/>
      <c r="N18" s="105"/>
      <c r="O18" s="107"/>
      <c r="P18" s="107"/>
      <c r="Q18" s="107"/>
      <c r="R18" s="107"/>
    </row>
    <row r="19" spans="1:18" ht="12.7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6"/>
      <c r="L19" s="106"/>
      <c r="M19" s="106"/>
      <c r="N19" s="105"/>
      <c r="O19" s="107"/>
      <c r="P19" s="107"/>
      <c r="Q19" s="107"/>
      <c r="R19" s="107"/>
    </row>
    <row r="20" spans="1:18" ht="12.7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6"/>
      <c r="L20" s="106"/>
      <c r="M20" s="106"/>
      <c r="N20" s="105"/>
      <c r="O20" s="107"/>
      <c r="P20" s="107"/>
      <c r="Q20" s="107"/>
      <c r="R20" s="107"/>
    </row>
    <row r="21" spans="1:18" ht="12.7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L21" s="106"/>
      <c r="M21" s="106"/>
      <c r="N21" s="105"/>
      <c r="O21" s="107"/>
      <c r="P21" s="107"/>
      <c r="Q21" s="107"/>
      <c r="R21" s="107"/>
    </row>
    <row r="22" spans="1:18" ht="12.7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6"/>
      <c r="L22" s="106"/>
      <c r="M22" s="106"/>
      <c r="N22" s="105"/>
      <c r="O22" s="107"/>
      <c r="P22" s="107"/>
      <c r="Q22" s="107"/>
      <c r="R22" s="107"/>
    </row>
    <row r="23" spans="1:18" ht="12.7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6"/>
      <c r="L23" s="106"/>
      <c r="M23" s="106"/>
      <c r="N23" s="105"/>
      <c r="O23" s="107"/>
      <c r="P23" s="107"/>
      <c r="Q23" s="107"/>
      <c r="R23" s="107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06"/>
      <c r="M24" s="106"/>
      <c r="N24" s="105"/>
      <c r="O24" s="107"/>
      <c r="P24" s="107"/>
      <c r="Q24" s="107"/>
      <c r="R24" s="107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106"/>
      <c r="M25" s="106"/>
      <c r="N25" s="105"/>
      <c r="O25" s="107"/>
      <c r="P25" s="107"/>
      <c r="Q25" s="107"/>
      <c r="R25" s="107"/>
    </row>
    <row r="26" spans="1:18" ht="12.7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6"/>
      <c r="L26" s="106"/>
      <c r="M26" s="106"/>
      <c r="N26" s="105"/>
      <c r="O26" s="107"/>
      <c r="P26" s="107"/>
      <c r="Q26" s="107"/>
      <c r="R26" s="107"/>
    </row>
    <row r="27" spans="1:18" ht="12.7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6"/>
      <c r="L27" s="106"/>
      <c r="M27" s="106"/>
      <c r="N27" s="105"/>
      <c r="O27" s="107"/>
      <c r="P27" s="107"/>
      <c r="Q27" s="107"/>
      <c r="R27" s="107"/>
    </row>
    <row r="28" spans="1:18" ht="12.7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6"/>
      <c r="M28" s="106"/>
      <c r="N28" s="105"/>
      <c r="O28" s="107"/>
      <c r="P28" s="107"/>
      <c r="Q28" s="107"/>
      <c r="R28" s="107"/>
    </row>
    <row r="29" spans="1:18" ht="12.7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106"/>
      <c r="M29" s="106"/>
      <c r="N29" s="105"/>
      <c r="O29" s="107"/>
      <c r="P29" s="107"/>
      <c r="Q29" s="107"/>
      <c r="R29" s="107"/>
    </row>
    <row r="30" spans="1:18" ht="12.7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106"/>
      <c r="M30" s="106"/>
      <c r="N30" s="105"/>
      <c r="O30" s="107"/>
      <c r="P30" s="107"/>
      <c r="Q30" s="107"/>
      <c r="R30" s="107"/>
    </row>
    <row r="31" spans="1:18" ht="12.75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6"/>
      <c r="L31" s="106"/>
      <c r="M31" s="106"/>
      <c r="N31" s="105"/>
      <c r="O31" s="107"/>
      <c r="P31" s="107"/>
      <c r="Q31" s="107"/>
      <c r="R31" s="107"/>
    </row>
    <row r="32" spans="11:18" ht="12.75">
      <c r="K32" s="111"/>
      <c r="L32" s="111"/>
      <c r="M32" s="111"/>
      <c r="O32" s="112"/>
      <c r="P32" s="112"/>
      <c r="Q32" s="112"/>
      <c r="R32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16"/>
  <sheetViews>
    <sheetView showGridLines="0" tabSelected="1" workbookViewId="0" topLeftCell="A1">
      <selection activeCell="G101" sqref="G101"/>
    </sheetView>
  </sheetViews>
  <sheetFormatPr defaultColWidth="9.140625" defaultRowHeight="12.75"/>
  <cols>
    <col min="1" max="1" width="6.7109375" style="113" customWidth="1"/>
    <col min="2" max="2" width="5.7109375" style="114" customWidth="1"/>
    <col min="3" max="3" width="35.57421875" style="115" customWidth="1"/>
    <col min="4" max="4" width="7.28125" style="113" customWidth="1"/>
    <col min="5" max="5" width="2.28125" style="0" customWidth="1"/>
    <col min="6" max="6" width="6.7109375" style="0" customWidth="1"/>
    <col min="7" max="7" width="5.7109375" style="0" customWidth="1"/>
    <col min="8" max="8" width="35.57421875" style="0" customWidth="1"/>
    <col min="9" max="9" width="7.28125" style="0" customWidth="1"/>
  </cols>
  <sheetData>
    <row r="1" spans="1:9" ht="60.75">
      <c r="A1" s="116" t="s">
        <v>90</v>
      </c>
      <c r="B1" s="117" t="s">
        <v>91</v>
      </c>
      <c r="C1" s="118" t="s">
        <v>92</v>
      </c>
      <c r="D1" s="119" t="s">
        <v>93</v>
      </c>
      <c r="F1" s="116" t="s">
        <v>90</v>
      </c>
      <c r="G1" s="117" t="s">
        <v>91</v>
      </c>
      <c r="H1" s="118" t="s">
        <v>92</v>
      </c>
      <c r="I1" s="119" t="s">
        <v>93</v>
      </c>
    </row>
    <row r="2" spans="1:9" ht="12.75">
      <c r="A2" s="120"/>
      <c r="B2" s="121"/>
      <c r="C2" s="121" t="s">
        <v>94</v>
      </c>
      <c r="D2" s="122"/>
      <c r="F2" s="123">
        <f>A26</f>
        <v>47.20000000000002</v>
      </c>
      <c r="G2" s="124" t="s">
        <v>95</v>
      </c>
      <c r="H2" s="125" t="s">
        <v>96</v>
      </c>
      <c r="I2" s="126">
        <v>0.2</v>
      </c>
    </row>
    <row r="3" spans="1:16" ht="12.75">
      <c r="A3" s="127"/>
      <c r="B3" s="128"/>
      <c r="C3" s="128" t="s">
        <v>97</v>
      </c>
      <c r="D3" s="129"/>
      <c r="F3" s="130">
        <f aca="true" t="shared" si="0" ref="F3:F22">F2+I2</f>
        <v>47.40000000000002</v>
      </c>
      <c r="G3" s="131" t="s">
        <v>98</v>
      </c>
      <c r="H3" s="132" t="s">
        <v>99</v>
      </c>
      <c r="I3" s="133">
        <v>0.8</v>
      </c>
      <c r="N3" s="134"/>
      <c r="O3" s="135"/>
      <c r="P3" s="136"/>
    </row>
    <row r="4" spans="1:16" ht="12.75">
      <c r="A4" s="130"/>
      <c r="B4" s="131"/>
      <c r="C4" s="132"/>
      <c r="D4" s="133"/>
      <c r="F4" s="130">
        <f t="shared" si="0"/>
        <v>48.20000000000002</v>
      </c>
      <c r="G4" s="131" t="s">
        <v>100</v>
      </c>
      <c r="H4" s="132" t="s">
        <v>101</v>
      </c>
      <c r="I4" s="133">
        <v>5.9</v>
      </c>
      <c r="N4" s="134"/>
      <c r="O4" s="135"/>
      <c r="P4" s="136"/>
    </row>
    <row r="5" spans="1:16" ht="12.75">
      <c r="A5" s="137">
        <v>0</v>
      </c>
      <c r="B5" s="131" t="s">
        <v>95</v>
      </c>
      <c r="C5" s="132" t="s">
        <v>102</v>
      </c>
      <c r="D5" s="138">
        <v>0.2</v>
      </c>
      <c r="F5" s="130">
        <f t="shared" si="0"/>
        <v>54.100000000000016</v>
      </c>
      <c r="G5" s="131" t="s">
        <v>98</v>
      </c>
      <c r="H5" s="132" t="s">
        <v>103</v>
      </c>
      <c r="I5" s="133">
        <v>0.2</v>
      </c>
      <c r="N5" s="134"/>
      <c r="O5" s="135"/>
      <c r="P5" s="136"/>
    </row>
    <row r="6" spans="1:16" ht="12.75">
      <c r="A6" s="137">
        <f aca="true" t="shared" si="1" ref="A6:A24">A5+D5</f>
        <v>0.2</v>
      </c>
      <c r="B6" s="131" t="s">
        <v>98</v>
      </c>
      <c r="C6" s="139" t="s">
        <v>104</v>
      </c>
      <c r="D6" s="138">
        <v>1.1</v>
      </c>
      <c r="F6" s="130">
        <f t="shared" si="0"/>
        <v>54.30000000000002</v>
      </c>
      <c r="G6" s="131" t="s">
        <v>100</v>
      </c>
      <c r="H6" s="132" t="s">
        <v>105</v>
      </c>
      <c r="I6" s="133">
        <v>0.4</v>
      </c>
      <c r="N6" s="134"/>
      <c r="O6" s="135"/>
      <c r="P6" s="135"/>
    </row>
    <row r="7" spans="1:16" ht="12.75">
      <c r="A7" s="137">
        <f t="shared" si="1"/>
        <v>1.3</v>
      </c>
      <c r="B7" s="131" t="s">
        <v>100</v>
      </c>
      <c r="C7" s="132" t="s">
        <v>106</v>
      </c>
      <c r="D7" s="138">
        <v>0.4</v>
      </c>
      <c r="F7" s="130">
        <f t="shared" si="0"/>
        <v>54.70000000000002</v>
      </c>
      <c r="G7" s="131" t="s">
        <v>95</v>
      </c>
      <c r="H7" s="132" t="s">
        <v>107</v>
      </c>
      <c r="I7" s="133">
        <v>2.3</v>
      </c>
      <c r="N7" s="134"/>
      <c r="O7" s="135"/>
      <c r="P7" s="135"/>
    </row>
    <row r="8" spans="1:16" ht="12.75">
      <c r="A8" s="137">
        <f t="shared" si="1"/>
        <v>1.7000000000000002</v>
      </c>
      <c r="B8" s="131" t="s">
        <v>100</v>
      </c>
      <c r="C8" s="132" t="s">
        <v>108</v>
      </c>
      <c r="D8" s="138">
        <v>1.5</v>
      </c>
      <c r="F8" s="130">
        <f t="shared" si="0"/>
        <v>57.000000000000014</v>
      </c>
      <c r="G8" s="131" t="s">
        <v>95</v>
      </c>
      <c r="H8" s="132" t="s">
        <v>109</v>
      </c>
      <c r="I8" s="133">
        <v>0.1</v>
      </c>
      <c r="N8" s="134"/>
      <c r="O8" s="135"/>
      <c r="P8" s="136"/>
    </row>
    <row r="9" spans="1:16" ht="12.75">
      <c r="A9" s="137">
        <f t="shared" si="1"/>
        <v>3.2</v>
      </c>
      <c r="B9" s="131" t="s">
        <v>95</v>
      </c>
      <c r="C9" s="132" t="s">
        <v>110</v>
      </c>
      <c r="D9" s="138">
        <v>0.8</v>
      </c>
      <c r="F9" s="130">
        <f t="shared" si="0"/>
        <v>57.100000000000016</v>
      </c>
      <c r="G9" s="131" t="s">
        <v>98</v>
      </c>
      <c r="H9" s="132" t="s">
        <v>111</v>
      </c>
      <c r="I9" s="133">
        <v>0.8</v>
      </c>
      <c r="N9" s="134"/>
      <c r="O9" s="135"/>
      <c r="P9" s="136"/>
    </row>
    <row r="10" spans="1:16" ht="12.75">
      <c r="A10" s="137">
        <f t="shared" si="1"/>
        <v>4</v>
      </c>
      <c r="B10" s="140" t="s">
        <v>100</v>
      </c>
      <c r="C10" s="132" t="s">
        <v>112</v>
      </c>
      <c r="D10" s="133">
        <v>0.2</v>
      </c>
      <c r="F10" s="130">
        <f t="shared" si="0"/>
        <v>57.90000000000001</v>
      </c>
      <c r="G10" s="131" t="s">
        <v>98</v>
      </c>
      <c r="H10" s="132" t="s">
        <v>113</v>
      </c>
      <c r="I10" s="133">
        <v>1.1</v>
      </c>
      <c r="N10" s="134"/>
      <c r="O10" s="135"/>
      <c r="P10" s="136"/>
    </row>
    <row r="11" spans="1:16" ht="12.75">
      <c r="A11" s="137">
        <f t="shared" si="1"/>
        <v>4.2</v>
      </c>
      <c r="B11" s="131" t="s">
        <v>98</v>
      </c>
      <c r="C11" s="132" t="s">
        <v>114</v>
      </c>
      <c r="D11" s="133">
        <v>3.7</v>
      </c>
      <c r="F11" s="130">
        <f t="shared" si="0"/>
        <v>59.000000000000014</v>
      </c>
      <c r="G11" s="131" t="s">
        <v>95</v>
      </c>
      <c r="H11" s="132" t="s">
        <v>115</v>
      </c>
      <c r="I11" s="133">
        <v>2.8</v>
      </c>
      <c r="N11" s="134"/>
      <c r="O11" s="135"/>
      <c r="P11" s="136"/>
    </row>
    <row r="12" spans="1:16" ht="12.75">
      <c r="A12" s="137">
        <f t="shared" si="1"/>
        <v>7.9</v>
      </c>
      <c r="B12" s="131" t="s">
        <v>95</v>
      </c>
      <c r="C12" s="132" t="s">
        <v>116</v>
      </c>
      <c r="D12" s="133">
        <v>3.6</v>
      </c>
      <c r="F12" s="130">
        <f t="shared" si="0"/>
        <v>61.80000000000001</v>
      </c>
      <c r="G12" s="131" t="s">
        <v>95</v>
      </c>
      <c r="H12" s="132" t="s">
        <v>117</v>
      </c>
      <c r="I12" s="133">
        <v>2.3</v>
      </c>
      <c r="N12" s="134"/>
      <c r="O12" s="135"/>
      <c r="P12" s="136"/>
    </row>
    <row r="13" spans="1:16" ht="12.75">
      <c r="A13" s="137">
        <f t="shared" si="1"/>
        <v>11.5</v>
      </c>
      <c r="B13" s="131" t="s">
        <v>95</v>
      </c>
      <c r="C13" s="132" t="s">
        <v>118</v>
      </c>
      <c r="D13" s="133">
        <v>5.9</v>
      </c>
      <c r="F13" s="130">
        <f t="shared" si="0"/>
        <v>64.10000000000001</v>
      </c>
      <c r="G13" s="131" t="s">
        <v>95</v>
      </c>
      <c r="H13" s="132" t="s">
        <v>119</v>
      </c>
      <c r="I13" s="133">
        <v>0.1</v>
      </c>
      <c r="N13" s="134"/>
      <c r="O13" s="135"/>
      <c r="P13" s="136"/>
    </row>
    <row r="14" spans="1:16" ht="12.75">
      <c r="A14" s="137">
        <f t="shared" si="1"/>
        <v>17.4</v>
      </c>
      <c r="B14" s="131" t="s">
        <v>95</v>
      </c>
      <c r="C14" s="132" t="s">
        <v>120</v>
      </c>
      <c r="D14" s="133">
        <v>13</v>
      </c>
      <c r="F14" s="130">
        <f t="shared" si="0"/>
        <v>64.2</v>
      </c>
      <c r="G14" s="131" t="s">
        <v>98</v>
      </c>
      <c r="H14" s="132" t="s">
        <v>121</v>
      </c>
      <c r="I14" s="133">
        <v>0.6</v>
      </c>
      <c r="N14" s="134"/>
      <c r="O14" s="135"/>
      <c r="P14" s="136"/>
    </row>
    <row r="15" spans="1:16" ht="12.75">
      <c r="A15" s="137">
        <f t="shared" si="1"/>
        <v>30.4</v>
      </c>
      <c r="B15" s="131" t="s">
        <v>95</v>
      </c>
      <c r="C15" s="132" t="s">
        <v>122</v>
      </c>
      <c r="D15" s="133">
        <v>1.7</v>
      </c>
      <c r="F15" s="130">
        <f t="shared" si="0"/>
        <v>64.8</v>
      </c>
      <c r="G15" s="131" t="s">
        <v>98</v>
      </c>
      <c r="H15" s="132" t="s">
        <v>123</v>
      </c>
      <c r="I15" s="133">
        <v>0.8</v>
      </c>
      <c r="N15" s="134"/>
      <c r="O15" s="135"/>
      <c r="P15" s="136"/>
    </row>
    <row r="16" spans="1:16" ht="12.75">
      <c r="A16" s="137">
        <f t="shared" si="1"/>
        <v>32.1</v>
      </c>
      <c r="B16" s="131" t="s">
        <v>98</v>
      </c>
      <c r="C16" s="132" t="s">
        <v>124</v>
      </c>
      <c r="D16" s="133">
        <v>1.2</v>
      </c>
      <c r="F16" s="130">
        <f t="shared" si="0"/>
        <v>65.6</v>
      </c>
      <c r="G16" s="131" t="s">
        <v>100</v>
      </c>
      <c r="H16" s="132" t="s">
        <v>125</v>
      </c>
      <c r="I16" s="133">
        <v>0.5</v>
      </c>
      <c r="N16" s="33"/>
      <c r="O16" s="11"/>
      <c r="P16" s="33"/>
    </row>
    <row r="17" spans="1:16" ht="12.75">
      <c r="A17" s="137">
        <f t="shared" si="1"/>
        <v>33.300000000000004</v>
      </c>
      <c r="B17" s="131" t="s">
        <v>100</v>
      </c>
      <c r="C17" s="132" t="s">
        <v>126</v>
      </c>
      <c r="D17" s="133">
        <v>0.6</v>
      </c>
      <c r="F17" s="130">
        <f t="shared" si="0"/>
        <v>66.1</v>
      </c>
      <c r="G17" s="131" t="s">
        <v>98</v>
      </c>
      <c r="H17" s="132" t="s">
        <v>127</v>
      </c>
      <c r="I17" s="133">
        <v>2.3</v>
      </c>
      <c r="N17" s="134"/>
      <c r="O17" s="135"/>
      <c r="P17" s="136"/>
    </row>
    <row r="18" spans="1:16" ht="12.75">
      <c r="A18" s="137">
        <f t="shared" si="1"/>
        <v>33.900000000000006</v>
      </c>
      <c r="B18" s="131" t="s">
        <v>95</v>
      </c>
      <c r="C18" s="132" t="s">
        <v>128</v>
      </c>
      <c r="D18" s="133">
        <v>2.2</v>
      </c>
      <c r="F18" s="130">
        <f t="shared" si="0"/>
        <v>68.39999999999999</v>
      </c>
      <c r="G18" s="140" t="s">
        <v>95</v>
      </c>
      <c r="H18" s="141" t="s">
        <v>129</v>
      </c>
      <c r="I18" s="133">
        <v>0.4</v>
      </c>
      <c r="N18" s="134"/>
      <c r="O18" s="135"/>
      <c r="P18" s="136"/>
    </row>
    <row r="19" spans="1:16" ht="12.75">
      <c r="A19" s="137">
        <f t="shared" si="1"/>
        <v>36.10000000000001</v>
      </c>
      <c r="B19" s="131" t="s">
        <v>100</v>
      </c>
      <c r="C19" s="132" t="s">
        <v>130</v>
      </c>
      <c r="D19" s="133">
        <v>5.6</v>
      </c>
      <c r="F19" s="130">
        <f t="shared" si="0"/>
        <v>68.8</v>
      </c>
      <c r="G19" s="131" t="s">
        <v>95</v>
      </c>
      <c r="H19" s="142" t="s">
        <v>131</v>
      </c>
      <c r="I19" s="133">
        <v>0.6</v>
      </c>
      <c r="N19" s="134"/>
      <c r="O19" s="135"/>
      <c r="P19" s="136"/>
    </row>
    <row r="20" spans="1:16" ht="12.75">
      <c r="A20" s="137">
        <f t="shared" si="1"/>
        <v>41.70000000000001</v>
      </c>
      <c r="B20" s="131" t="s">
        <v>98</v>
      </c>
      <c r="C20" s="132" t="s">
        <v>132</v>
      </c>
      <c r="D20" s="133">
        <v>1.1</v>
      </c>
      <c r="F20" s="130">
        <f t="shared" si="0"/>
        <v>69.39999999999999</v>
      </c>
      <c r="G20" s="131" t="s">
        <v>95</v>
      </c>
      <c r="H20" s="142" t="s">
        <v>133</v>
      </c>
      <c r="I20" s="133">
        <v>0.3</v>
      </c>
      <c r="N20" s="134"/>
      <c r="O20" s="135"/>
      <c r="P20" s="136"/>
    </row>
    <row r="21" spans="1:16" ht="12.75">
      <c r="A21" s="137">
        <f t="shared" si="1"/>
        <v>42.80000000000001</v>
      </c>
      <c r="B21" s="131" t="s">
        <v>98</v>
      </c>
      <c r="C21" s="132" t="s">
        <v>134</v>
      </c>
      <c r="D21" s="133">
        <v>0.1</v>
      </c>
      <c r="F21" s="130">
        <f t="shared" si="0"/>
        <v>69.69999999999999</v>
      </c>
      <c r="G21" s="131" t="s">
        <v>95</v>
      </c>
      <c r="H21" s="132" t="s">
        <v>135</v>
      </c>
      <c r="I21" s="133">
        <v>0.4</v>
      </c>
      <c r="N21" s="134"/>
      <c r="O21" s="135"/>
      <c r="P21" s="136"/>
    </row>
    <row r="22" spans="1:16" ht="12.75">
      <c r="A22" s="137">
        <f t="shared" si="1"/>
        <v>42.90000000000001</v>
      </c>
      <c r="B22" s="131" t="s">
        <v>95</v>
      </c>
      <c r="C22" s="132" t="s">
        <v>136</v>
      </c>
      <c r="D22" s="133">
        <v>0.2</v>
      </c>
      <c r="F22" s="130">
        <f t="shared" si="0"/>
        <v>70.1</v>
      </c>
      <c r="G22" s="131" t="s">
        <v>100</v>
      </c>
      <c r="H22" s="132" t="s">
        <v>137</v>
      </c>
      <c r="I22" s="133">
        <v>1.9</v>
      </c>
      <c r="N22" s="134"/>
      <c r="O22" s="135"/>
      <c r="P22" s="136"/>
    </row>
    <row r="23" spans="1:16" ht="12.75">
      <c r="A23" s="137">
        <f t="shared" si="1"/>
        <v>43.100000000000016</v>
      </c>
      <c r="B23" s="131" t="s">
        <v>98</v>
      </c>
      <c r="C23" s="132" t="s">
        <v>138</v>
      </c>
      <c r="D23" s="133">
        <v>1.6</v>
      </c>
      <c r="F23" s="130"/>
      <c r="G23" s="131"/>
      <c r="H23" s="132"/>
      <c r="I23" s="133"/>
      <c r="N23" s="134"/>
      <c r="O23" s="135"/>
      <c r="P23" s="136"/>
    </row>
    <row r="24" spans="1:16" ht="12.75">
      <c r="A24" s="137">
        <f t="shared" si="1"/>
        <v>44.70000000000002</v>
      </c>
      <c r="B24" s="131" t="s">
        <v>95</v>
      </c>
      <c r="C24" s="132" t="s">
        <v>139</v>
      </c>
      <c r="D24" s="133">
        <v>2.5</v>
      </c>
      <c r="F24" s="130"/>
      <c r="G24" s="131"/>
      <c r="H24" s="132"/>
      <c r="I24" s="133"/>
      <c r="N24" s="134"/>
      <c r="O24" s="135"/>
      <c r="P24" s="136"/>
    </row>
    <row r="25" spans="1:16" ht="12.75">
      <c r="A25" s="137"/>
      <c r="B25" s="131"/>
      <c r="C25" s="132"/>
      <c r="D25" s="133"/>
      <c r="F25" s="130"/>
      <c r="G25" s="131"/>
      <c r="H25" s="132"/>
      <c r="I25" s="133"/>
      <c r="N25" s="134"/>
      <c r="O25" s="135"/>
      <c r="P25" s="136"/>
    </row>
    <row r="26" spans="1:9" ht="12.75">
      <c r="A26" s="127">
        <f>A24+D24</f>
        <v>47.20000000000002</v>
      </c>
      <c r="B26" s="131"/>
      <c r="C26" s="128" t="s">
        <v>140</v>
      </c>
      <c r="D26" s="133"/>
      <c r="F26" s="130"/>
      <c r="G26" s="131"/>
      <c r="H26" s="132"/>
      <c r="I26" s="133"/>
    </row>
    <row r="27" spans="1:99" s="144" customFormat="1" ht="12.75">
      <c r="A27" s="143"/>
      <c r="B27" s="131"/>
      <c r="C27" s="128" t="s">
        <v>23</v>
      </c>
      <c r="D27" s="133"/>
      <c r="E27"/>
      <c r="F27" s="130"/>
      <c r="G27" s="131"/>
      <c r="H27" s="132"/>
      <c r="I27" s="133"/>
      <c r="J27"/>
      <c r="K27"/>
      <c r="L27"/>
      <c r="M27"/>
      <c r="N27"/>
      <c r="O27" s="134"/>
      <c r="P27" s="135"/>
      <c r="Q27" s="13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144" customFormat="1" ht="12.75">
      <c r="A28" s="145"/>
      <c r="B28" s="146"/>
      <c r="C28" s="147"/>
      <c r="D28" s="148"/>
      <c r="E28"/>
      <c r="F28" s="145"/>
      <c r="G28" s="146"/>
      <c r="H28" s="149"/>
      <c r="I28" s="148"/>
      <c r="J28"/>
      <c r="K28"/>
      <c r="L28"/>
      <c r="M28"/>
      <c r="N28"/>
      <c r="O28" s="134"/>
      <c r="P28" s="135"/>
      <c r="Q28" s="136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5:99" s="144" customFormat="1" ht="7.5" customHeight="1">
      <c r="E29"/>
      <c r="F29"/>
      <c r="G29"/>
      <c r="H29"/>
      <c r="I29"/>
      <c r="J29"/>
      <c r="K29"/>
      <c r="L29"/>
      <c r="M29"/>
      <c r="N29"/>
      <c r="O29" s="134"/>
      <c r="P29" s="135"/>
      <c r="Q29" s="13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" ht="60.75">
      <c r="A30" s="116" t="s">
        <v>90</v>
      </c>
      <c r="B30" s="117" t="s">
        <v>91</v>
      </c>
      <c r="C30" s="118" t="s">
        <v>92</v>
      </c>
      <c r="D30" s="119" t="s">
        <v>93</v>
      </c>
      <c r="F30" s="116" t="s">
        <v>90</v>
      </c>
      <c r="G30" s="117" t="s">
        <v>91</v>
      </c>
      <c r="H30" s="118" t="s">
        <v>92</v>
      </c>
      <c r="I30" s="119" t="s">
        <v>93</v>
      </c>
    </row>
    <row r="31" spans="1:9" ht="12.75">
      <c r="A31" s="123">
        <f>F22+I22</f>
        <v>72</v>
      </c>
      <c r="B31" s="124" t="s">
        <v>95</v>
      </c>
      <c r="C31" s="125" t="s">
        <v>141</v>
      </c>
      <c r="D31" s="126">
        <v>1.4</v>
      </c>
      <c r="F31" s="123">
        <f>A52+D52</f>
        <v>95.49999999999999</v>
      </c>
      <c r="G31" s="124" t="s">
        <v>98</v>
      </c>
      <c r="H31" s="150" t="s">
        <v>142</v>
      </c>
      <c r="I31" s="126">
        <v>0.1</v>
      </c>
    </row>
    <row r="32" spans="1:9" ht="12.75">
      <c r="A32" s="130">
        <f aca="true" t="shared" si="2" ref="A32:A38">A31+D31</f>
        <v>73.4</v>
      </c>
      <c r="B32" s="131" t="s">
        <v>100</v>
      </c>
      <c r="C32" s="132" t="s">
        <v>143</v>
      </c>
      <c r="D32" s="133">
        <v>0.8</v>
      </c>
      <c r="F32" s="130">
        <f aca="true" t="shared" si="3" ref="F32:F53">F31+I31</f>
        <v>95.59999999999998</v>
      </c>
      <c r="G32" s="131" t="s">
        <v>95</v>
      </c>
      <c r="H32" s="132" t="s">
        <v>144</v>
      </c>
      <c r="I32" s="133">
        <v>0.1</v>
      </c>
    </row>
    <row r="33" spans="1:9" ht="12.75">
      <c r="A33" s="130">
        <f t="shared" si="2"/>
        <v>74.2</v>
      </c>
      <c r="B33" s="131" t="s">
        <v>100</v>
      </c>
      <c r="C33" s="132" t="s">
        <v>145</v>
      </c>
      <c r="D33" s="133">
        <v>0.6</v>
      </c>
      <c r="F33" s="130">
        <f t="shared" si="3"/>
        <v>95.69999999999997</v>
      </c>
      <c r="G33" s="131" t="s">
        <v>100</v>
      </c>
      <c r="H33" s="132" t="s">
        <v>146</v>
      </c>
      <c r="I33" s="133">
        <v>0.1</v>
      </c>
    </row>
    <row r="34" spans="1:9" ht="12.75">
      <c r="A34" s="130">
        <f t="shared" si="2"/>
        <v>74.8</v>
      </c>
      <c r="B34" s="131" t="s">
        <v>98</v>
      </c>
      <c r="C34" s="132" t="s">
        <v>147</v>
      </c>
      <c r="D34" s="133">
        <v>0.3</v>
      </c>
      <c r="F34" s="130">
        <f t="shared" si="3"/>
        <v>95.79999999999997</v>
      </c>
      <c r="G34" s="131" t="s">
        <v>95</v>
      </c>
      <c r="H34" s="132" t="s">
        <v>148</v>
      </c>
      <c r="I34" s="133">
        <v>0.2</v>
      </c>
    </row>
    <row r="35" spans="1:9" ht="12.75">
      <c r="A35" s="130">
        <f t="shared" si="2"/>
        <v>75.1</v>
      </c>
      <c r="B35" s="131" t="s">
        <v>95</v>
      </c>
      <c r="C35" s="132" t="s">
        <v>149</v>
      </c>
      <c r="D35" s="133">
        <v>0.9</v>
      </c>
      <c r="F35" s="130">
        <f t="shared" si="3"/>
        <v>95.99999999999997</v>
      </c>
      <c r="G35" s="131" t="s">
        <v>98</v>
      </c>
      <c r="H35" s="132" t="s">
        <v>150</v>
      </c>
      <c r="I35" s="133">
        <v>0.1</v>
      </c>
    </row>
    <row r="36" spans="1:9" ht="12.75">
      <c r="A36" s="130">
        <f t="shared" si="2"/>
        <v>76</v>
      </c>
      <c r="B36" s="131" t="s">
        <v>95</v>
      </c>
      <c r="C36" s="132" t="s">
        <v>151</v>
      </c>
      <c r="D36" s="133">
        <v>2.7</v>
      </c>
      <c r="F36" s="130">
        <f t="shared" si="3"/>
        <v>96.09999999999997</v>
      </c>
      <c r="G36" s="131" t="s">
        <v>95</v>
      </c>
      <c r="H36" s="132" t="s">
        <v>152</v>
      </c>
      <c r="I36" s="133">
        <v>0.1</v>
      </c>
    </row>
    <row r="37" spans="1:9" ht="12.75">
      <c r="A37" s="130">
        <f t="shared" si="2"/>
        <v>78.7</v>
      </c>
      <c r="B37" s="131" t="s">
        <v>98</v>
      </c>
      <c r="C37" s="132" t="s">
        <v>153</v>
      </c>
      <c r="D37" s="133">
        <v>0.3</v>
      </c>
      <c r="F37" s="130">
        <f t="shared" si="3"/>
        <v>96.19999999999996</v>
      </c>
      <c r="G37" s="131" t="s">
        <v>100</v>
      </c>
      <c r="H37" s="132" t="s">
        <v>154</v>
      </c>
      <c r="I37" s="133">
        <v>0.6</v>
      </c>
    </row>
    <row r="38" spans="1:9" ht="12.75">
      <c r="A38" s="130">
        <f t="shared" si="2"/>
        <v>79</v>
      </c>
      <c r="B38" s="131" t="s">
        <v>100</v>
      </c>
      <c r="C38" s="132" t="s">
        <v>155</v>
      </c>
      <c r="D38" s="133">
        <v>0.8</v>
      </c>
      <c r="F38" s="130">
        <f t="shared" si="3"/>
        <v>96.79999999999995</v>
      </c>
      <c r="G38" s="131" t="s">
        <v>95</v>
      </c>
      <c r="H38" s="132" t="s">
        <v>156</v>
      </c>
      <c r="I38" s="133">
        <v>0.2</v>
      </c>
    </row>
    <row r="39" spans="1:9" ht="12.75">
      <c r="A39" s="130"/>
      <c r="B39" s="131"/>
      <c r="C39" s="132"/>
      <c r="D39" s="133"/>
      <c r="F39" s="130">
        <f t="shared" si="3"/>
        <v>96.99999999999996</v>
      </c>
      <c r="G39" s="131" t="s">
        <v>95</v>
      </c>
      <c r="H39" s="132" t="s">
        <v>157</v>
      </c>
      <c r="I39" s="133">
        <v>0.6</v>
      </c>
    </row>
    <row r="40" spans="1:9" ht="12.75">
      <c r="A40" s="127">
        <f>A38+D38</f>
        <v>79.8</v>
      </c>
      <c r="B40" s="128" t="s">
        <v>98</v>
      </c>
      <c r="C40" s="128" t="s">
        <v>158</v>
      </c>
      <c r="D40" s="133"/>
      <c r="F40" s="130">
        <f t="shared" si="3"/>
        <v>97.59999999999995</v>
      </c>
      <c r="G40" s="131" t="s">
        <v>95</v>
      </c>
      <c r="H40" s="132" t="s">
        <v>159</v>
      </c>
      <c r="I40" s="133">
        <v>0.4</v>
      </c>
    </row>
    <row r="41" spans="1:9" ht="12.75">
      <c r="A41" s="127"/>
      <c r="B41" s="128"/>
      <c r="C41" s="128"/>
      <c r="D41" s="133"/>
      <c r="F41" s="130">
        <f t="shared" si="3"/>
        <v>97.99999999999996</v>
      </c>
      <c r="G41" s="131" t="s">
        <v>95</v>
      </c>
      <c r="H41" s="132" t="s">
        <v>160</v>
      </c>
      <c r="I41" s="133">
        <v>0.2</v>
      </c>
    </row>
    <row r="42" spans="1:9" ht="12.75">
      <c r="A42" s="127"/>
      <c r="B42" s="128"/>
      <c r="C42" s="128" t="s">
        <v>27</v>
      </c>
      <c r="D42" s="133"/>
      <c r="F42" s="130">
        <f t="shared" si="3"/>
        <v>98.19999999999996</v>
      </c>
      <c r="G42" s="131" t="s">
        <v>98</v>
      </c>
      <c r="H42" s="132" t="s">
        <v>161</v>
      </c>
      <c r="I42" s="133">
        <v>0.3</v>
      </c>
    </row>
    <row r="43" spans="1:9" ht="12.75">
      <c r="A43" s="127"/>
      <c r="B43" s="128"/>
      <c r="C43" s="128" t="s">
        <v>162</v>
      </c>
      <c r="D43" s="133"/>
      <c r="F43" s="130">
        <f t="shared" si="3"/>
        <v>98.49999999999996</v>
      </c>
      <c r="G43" s="131" t="s">
        <v>95</v>
      </c>
      <c r="H43" s="132" t="s">
        <v>163</v>
      </c>
      <c r="I43" s="133">
        <v>1.3</v>
      </c>
    </row>
    <row r="44" spans="1:9" ht="12.75">
      <c r="A44" s="127"/>
      <c r="B44" s="128"/>
      <c r="C44" s="128"/>
      <c r="D44" s="133"/>
      <c r="F44" s="130">
        <f t="shared" si="3"/>
        <v>99.79999999999995</v>
      </c>
      <c r="G44" s="131" t="s">
        <v>95</v>
      </c>
      <c r="H44" s="132" t="s">
        <v>164</v>
      </c>
      <c r="I44" s="133">
        <v>0.1</v>
      </c>
    </row>
    <row r="45" spans="1:9" ht="12.75">
      <c r="A45" s="130">
        <v>79.8</v>
      </c>
      <c r="B45" s="131" t="s">
        <v>98</v>
      </c>
      <c r="C45" s="132" t="s">
        <v>165</v>
      </c>
      <c r="D45" s="133">
        <v>0.6</v>
      </c>
      <c r="F45" s="130">
        <f t="shared" si="3"/>
        <v>99.89999999999995</v>
      </c>
      <c r="G45" s="131" t="s">
        <v>98</v>
      </c>
      <c r="H45" s="132" t="s">
        <v>166</v>
      </c>
      <c r="I45" s="133">
        <v>0</v>
      </c>
    </row>
    <row r="46" spans="1:9" ht="12.75">
      <c r="A46" s="130">
        <f>A45+D45</f>
        <v>80.39999999999999</v>
      </c>
      <c r="B46" s="131" t="s">
        <v>95</v>
      </c>
      <c r="C46" s="132" t="s">
        <v>167</v>
      </c>
      <c r="D46" s="133">
        <v>7.8</v>
      </c>
      <c r="F46" s="130">
        <f t="shared" si="3"/>
        <v>99.89999999999995</v>
      </c>
      <c r="G46" s="131" t="s">
        <v>95</v>
      </c>
      <c r="H46" s="132" t="s">
        <v>168</v>
      </c>
      <c r="I46" s="133">
        <v>0.6</v>
      </c>
    </row>
    <row r="47" spans="1:9" ht="12.75">
      <c r="A47" s="130">
        <f aca="true" t="shared" si="4" ref="A47:A52">A46+D46</f>
        <v>88.19999999999999</v>
      </c>
      <c r="B47" s="131" t="s">
        <v>95</v>
      </c>
      <c r="C47" s="132" t="s">
        <v>169</v>
      </c>
      <c r="D47" s="133">
        <v>0.9</v>
      </c>
      <c r="F47" s="130">
        <f t="shared" si="3"/>
        <v>100.49999999999994</v>
      </c>
      <c r="G47" s="131" t="s">
        <v>95</v>
      </c>
      <c r="H47" s="132" t="s">
        <v>170</v>
      </c>
      <c r="I47" s="133">
        <v>0.3</v>
      </c>
    </row>
    <row r="48" spans="1:9" ht="12.75">
      <c r="A48" s="130">
        <f t="shared" si="4"/>
        <v>89.1</v>
      </c>
      <c r="B48" s="131" t="s">
        <v>100</v>
      </c>
      <c r="C48" s="132" t="s">
        <v>171</v>
      </c>
      <c r="D48" s="133">
        <v>0.6</v>
      </c>
      <c r="F48" s="130">
        <f t="shared" si="3"/>
        <v>100.79999999999994</v>
      </c>
      <c r="G48" s="131" t="s">
        <v>98</v>
      </c>
      <c r="H48" s="132" t="s">
        <v>172</v>
      </c>
      <c r="I48" s="133">
        <v>0.1</v>
      </c>
    </row>
    <row r="49" spans="1:9" ht="12.75">
      <c r="A49" s="130">
        <f t="shared" si="4"/>
        <v>89.69999999999999</v>
      </c>
      <c r="B49" s="131" t="s">
        <v>100</v>
      </c>
      <c r="C49" s="132" t="s">
        <v>173</v>
      </c>
      <c r="D49" s="133">
        <v>0.1</v>
      </c>
      <c r="F49" s="130">
        <f t="shared" si="3"/>
        <v>100.89999999999993</v>
      </c>
      <c r="G49" s="131" t="s">
        <v>98</v>
      </c>
      <c r="H49" s="132" t="s">
        <v>174</v>
      </c>
      <c r="I49" s="133">
        <v>0.6</v>
      </c>
    </row>
    <row r="50" spans="1:9" ht="12.75">
      <c r="A50" s="130">
        <f t="shared" si="4"/>
        <v>89.79999999999998</v>
      </c>
      <c r="B50" s="131" t="s">
        <v>95</v>
      </c>
      <c r="C50" s="132" t="s">
        <v>175</v>
      </c>
      <c r="D50" s="133">
        <v>0.2</v>
      </c>
      <c r="F50" s="130">
        <f t="shared" si="3"/>
        <v>101.49999999999993</v>
      </c>
      <c r="G50" s="131" t="s">
        <v>95</v>
      </c>
      <c r="H50" s="132" t="s">
        <v>176</v>
      </c>
      <c r="I50" s="133">
        <v>0.5</v>
      </c>
    </row>
    <row r="51" spans="1:9" ht="12.75">
      <c r="A51" s="130">
        <f t="shared" si="4"/>
        <v>89.99999999999999</v>
      </c>
      <c r="B51" s="131" t="s">
        <v>100</v>
      </c>
      <c r="C51" s="132" t="s">
        <v>177</v>
      </c>
      <c r="D51" s="133">
        <v>0.6</v>
      </c>
      <c r="F51" s="130">
        <f t="shared" si="3"/>
        <v>101.99999999999993</v>
      </c>
      <c r="G51" s="131" t="s">
        <v>98</v>
      </c>
      <c r="H51" s="132" t="s">
        <v>178</v>
      </c>
      <c r="I51" s="133">
        <v>0.6</v>
      </c>
    </row>
    <row r="52" spans="1:9" ht="12.75">
      <c r="A52" s="130">
        <f t="shared" si="4"/>
        <v>90.59999999999998</v>
      </c>
      <c r="B52" s="131" t="s">
        <v>95</v>
      </c>
      <c r="C52" s="142" t="s">
        <v>179</v>
      </c>
      <c r="D52" s="133">
        <v>4.9</v>
      </c>
      <c r="F52" s="130">
        <f t="shared" si="3"/>
        <v>102.59999999999992</v>
      </c>
      <c r="G52" s="131" t="s">
        <v>95</v>
      </c>
      <c r="H52" s="132" t="s">
        <v>180</v>
      </c>
      <c r="I52" s="133">
        <v>0.2</v>
      </c>
    </row>
    <row r="53" spans="1:9" ht="12.75">
      <c r="A53" s="130"/>
      <c r="B53" s="131"/>
      <c r="C53" s="132"/>
      <c r="D53" s="133"/>
      <c r="F53" s="130">
        <f t="shared" si="3"/>
        <v>102.79999999999993</v>
      </c>
      <c r="G53" s="131" t="s">
        <v>98</v>
      </c>
      <c r="H53" s="132" t="s">
        <v>181</v>
      </c>
      <c r="I53" s="133">
        <v>3.2</v>
      </c>
    </row>
    <row r="54" spans="1:9" ht="12.75">
      <c r="A54" s="130"/>
      <c r="B54" s="131"/>
      <c r="C54" s="132"/>
      <c r="D54" s="133"/>
      <c r="F54" s="143"/>
      <c r="G54" s="139"/>
      <c r="H54" s="139"/>
      <c r="I54" s="151"/>
    </row>
    <row r="55" spans="1:9" ht="12.75">
      <c r="A55" s="130"/>
      <c r="B55" s="131"/>
      <c r="C55" s="132"/>
      <c r="D55" s="133"/>
      <c r="F55" s="143"/>
      <c r="G55" s="139"/>
      <c r="H55" s="139"/>
      <c r="I55" s="151"/>
    </row>
    <row r="56" spans="1:9" ht="12.75">
      <c r="A56" s="130"/>
      <c r="B56" s="131"/>
      <c r="C56" s="132"/>
      <c r="D56" s="133"/>
      <c r="F56" s="143"/>
      <c r="G56" s="139"/>
      <c r="H56" s="139"/>
      <c r="I56" s="151"/>
    </row>
    <row r="57" spans="1:9" ht="12.75">
      <c r="A57" s="145"/>
      <c r="B57" s="146"/>
      <c r="C57" s="149"/>
      <c r="D57" s="148"/>
      <c r="F57" s="152"/>
      <c r="G57" s="147"/>
      <c r="H57" s="147"/>
      <c r="I57" s="153"/>
    </row>
    <row r="59" spans="1:9" ht="60.75">
      <c r="A59" s="116" t="s">
        <v>90</v>
      </c>
      <c r="B59" s="117" t="s">
        <v>91</v>
      </c>
      <c r="C59" s="118" t="s">
        <v>92</v>
      </c>
      <c r="D59" s="119" t="s">
        <v>93</v>
      </c>
      <c r="F59" s="116" t="s">
        <v>90</v>
      </c>
      <c r="G59" s="117" t="s">
        <v>91</v>
      </c>
      <c r="H59" s="118" t="s">
        <v>92</v>
      </c>
      <c r="I59" s="119" t="s">
        <v>93</v>
      </c>
    </row>
    <row r="60" spans="1:9" ht="12.75">
      <c r="A60" s="123">
        <f>F53+I53</f>
        <v>105.99999999999993</v>
      </c>
      <c r="B60" s="124" t="s">
        <v>98</v>
      </c>
      <c r="C60" s="125" t="s">
        <v>182</v>
      </c>
      <c r="D60" s="126">
        <v>1.7</v>
      </c>
      <c r="F60" s="123">
        <f>A80</f>
        <v>116.99999999999991</v>
      </c>
      <c r="G60" s="124" t="s">
        <v>98</v>
      </c>
      <c r="H60" s="125" t="s">
        <v>114</v>
      </c>
      <c r="I60" s="126">
        <v>0.2</v>
      </c>
    </row>
    <row r="61" spans="1:9" ht="12.75">
      <c r="A61" s="130">
        <f aca="true" t="shared" si="5" ref="A61:A78">A60+D60</f>
        <v>107.69999999999993</v>
      </c>
      <c r="B61" s="131" t="s">
        <v>98</v>
      </c>
      <c r="C61" s="132" t="s">
        <v>183</v>
      </c>
      <c r="D61" s="133">
        <v>0.6</v>
      </c>
      <c r="F61" s="130">
        <f aca="true" t="shared" si="6" ref="F61:F74">F60+I60</f>
        <v>117.19999999999992</v>
      </c>
      <c r="G61" s="131" t="s">
        <v>95</v>
      </c>
      <c r="H61" s="132" t="s">
        <v>110</v>
      </c>
      <c r="I61" s="133">
        <v>0.1</v>
      </c>
    </row>
    <row r="62" spans="1:9" ht="12.75">
      <c r="A62" s="130">
        <f t="shared" si="5"/>
        <v>108.29999999999993</v>
      </c>
      <c r="B62" s="131" t="s">
        <v>95</v>
      </c>
      <c r="C62" s="132" t="s">
        <v>184</v>
      </c>
      <c r="D62" s="138">
        <v>1</v>
      </c>
      <c r="F62" s="130">
        <f t="shared" si="6"/>
        <v>117.29999999999991</v>
      </c>
      <c r="G62" s="131" t="s">
        <v>95</v>
      </c>
      <c r="H62" s="132" t="s">
        <v>185</v>
      </c>
      <c r="I62" s="133">
        <v>0.2</v>
      </c>
    </row>
    <row r="63" spans="1:9" ht="12.75">
      <c r="A63" s="130">
        <f t="shared" si="5"/>
        <v>109.29999999999993</v>
      </c>
      <c r="B63" s="131" t="s">
        <v>98</v>
      </c>
      <c r="C63" s="132" t="s">
        <v>186</v>
      </c>
      <c r="D63" s="138">
        <v>0.1</v>
      </c>
      <c r="F63" s="130">
        <f t="shared" si="6"/>
        <v>117.49999999999991</v>
      </c>
      <c r="G63" s="131" t="s">
        <v>98</v>
      </c>
      <c r="H63" s="132" t="s">
        <v>187</v>
      </c>
      <c r="I63" s="133">
        <v>1</v>
      </c>
    </row>
    <row r="64" spans="1:9" ht="12.75">
      <c r="A64" s="130">
        <f t="shared" si="5"/>
        <v>109.39999999999992</v>
      </c>
      <c r="B64" s="131" t="s">
        <v>95</v>
      </c>
      <c r="C64" s="132" t="s">
        <v>188</v>
      </c>
      <c r="D64" s="138">
        <v>0.3</v>
      </c>
      <c r="F64" s="130">
        <f t="shared" si="6"/>
        <v>118.49999999999991</v>
      </c>
      <c r="G64" s="131" t="s">
        <v>98</v>
      </c>
      <c r="H64" s="132" t="s">
        <v>189</v>
      </c>
      <c r="I64" s="138">
        <v>0.5</v>
      </c>
    </row>
    <row r="65" spans="1:9" ht="12.75">
      <c r="A65" s="130">
        <f t="shared" si="5"/>
        <v>109.69999999999992</v>
      </c>
      <c r="B65" s="131" t="s">
        <v>95</v>
      </c>
      <c r="C65" s="132" t="s">
        <v>190</v>
      </c>
      <c r="D65" s="138">
        <v>0.2</v>
      </c>
      <c r="F65" s="130">
        <f t="shared" si="6"/>
        <v>118.99999999999991</v>
      </c>
      <c r="G65" s="131" t="s">
        <v>95</v>
      </c>
      <c r="H65" s="132" t="s">
        <v>191</v>
      </c>
      <c r="I65" s="138">
        <v>1.8</v>
      </c>
    </row>
    <row r="66" spans="1:9" ht="12.75">
      <c r="A66" s="130">
        <f t="shared" si="5"/>
        <v>109.89999999999992</v>
      </c>
      <c r="B66" s="131" t="s">
        <v>98</v>
      </c>
      <c r="C66" s="132" t="s">
        <v>192</v>
      </c>
      <c r="D66" s="138">
        <v>0.1</v>
      </c>
      <c r="F66" s="130">
        <f t="shared" si="6"/>
        <v>120.79999999999991</v>
      </c>
      <c r="G66" s="131" t="s">
        <v>98</v>
      </c>
      <c r="H66" s="132" t="s">
        <v>193</v>
      </c>
      <c r="I66" s="138">
        <v>1.4</v>
      </c>
    </row>
    <row r="67" spans="1:9" ht="12.75">
      <c r="A67" s="130">
        <f t="shared" si="5"/>
        <v>109.99999999999991</v>
      </c>
      <c r="B67" s="131" t="s">
        <v>95</v>
      </c>
      <c r="C67" s="132" t="s">
        <v>194</v>
      </c>
      <c r="D67" s="138">
        <v>0.2</v>
      </c>
      <c r="F67" s="130">
        <f t="shared" si="6"/>
        <v>122.19999999999992</v>
      </c>
      <c r="G67" s="131" t="s">
        <v>100</v>
      </c>
      <c r="H67" s="132" t="s">
        <v>195</v>
      </c>
      <c r="I67" s="138">
        <v>0</v>
      </c>
    </row>
    <row r="68" spans="1:9" ht="12.75">
      <c r="A68" s="130">
        <f t="shared" si="5"/>
        <v>110.19999999999992</v>
      </c>
      <c r="B68" s="131" t="s">
        <v>95</v>
      </c>
      <c r="C68" s="132" t="s">
        <v>196</v>
      </c>
      <c r="D68" s="138">
        <v>0.4</v>
      </c>
      <c r="F68" s="130">
        <f t="shared" si="6"/>
        <v>122.19999999999992</v>
      </c>
      <c r="G68" s="131" t="s">
        <v>100</v>
      </c>
      <c r="H68" s="132" t="s">
        <v>197</v>
      </c>
      <c r="I68" s="138">
        <v>0.7</v>
      </c>
    </row>
    <row r="69" spans="1:9" ht="12.75">
      <c r="A69" s="130">
        <f t="shared" si="5"/>
        <v>110.59999999999992</v>
      </c>
      <c r="B69" s="131" t="s">
        <v>100</v>
      </c>
      <c r="C69" s="132" t="s">
        <v>198</v>
      </c>
      <c r="D69" s="138">
        <v>0.2</v>
      </c>
      <c r="F69" s="130">
        <f t="shared" si="6"/>
        <v>122.89999999999992</v>
      </c>
      <c r="G69" s="131" t="s">
        <v>100</v>
      </c>
      <c r="H69" s="132" t="s">
        <v>199</v>
      </c>
      <c r="I69" s="138">
        <v>2.2</v>
      </c>
    </row>
    <row r="70" spans="1:9" ht="12.75">
      <c r="A70" s="130">
        <f t="shared" si="5"/>
        <v>110.79999999999993</v>
      </c>
      <c r="B70" s="131" t="s">
        <v>100</v>
      </c>
      <c r="C70" s="132" t="s">
        <v>200</v>
      </c>
      <c r="D70" s="138">
        <v>1.9</v>
      </c>
      <c r="F70" s="130">
        <f t="shared" si="6"/>
        <v>125.09999999999992</v>
      </c>
      <c r="G70" s="131" t="s">
        <v>95</v>
      </c>
      <c r="H70" s="132" t="s">
        <v>201</v>
      </c>
      <c r="I70" s="138">
        <v>0.3</v>
      </c>
    </row>
    <row r="71" spans="1:9" ht="12.75">
      <c r="A71" s="130">
        <f t="shared" si="5"/>
        <v>112.69999999999993</v>
      </c>
      <c r="B71" s="131" t="s">
        <v>100</v>
      </c>
      <c r="C71" s="132" t="s">
        <v>202</v>
      </c>
      <c r="D71" s="138">
        <v>0.3</v>
      </c>
      <c r="F71" s="130">
        <f t="shared" si="6"/>
        <v>125.39999999999992</v>
      </c>
      <c r="G71" s="131" t="s">
        <v>95</v>
      </c>
      <c r="H71" s="132" t="s">
        <v>203</v>
      </c>
      <c r="I71" s="138">
        <v>4.2</v>
      </c>
    </row>
    <row r="72" spans="1:9" ht="12.75">
      <c r="A72" s="130">
        <f t="shared" si="5"/>
        <v>112.99999999999993</v>
      </c>
      <c r="B72" s="131" t="s">
        <v>95</v>
      </c>
      <c r="C72" s="132" t="s">
        <v>204</v>
      </c>
      <c r="D72" s="138">
        <v>0.1</v>
      </c>
      <c r="F72" s="130">
        <f t="shared" si="6"/>
        <v>129.5999999999999</v>
      </c>
      <c r="G72" s="131" t="s">
        <v>98</v>
      </c>
      <c r="H72" s="132" t="s">
        <v>205</v>
      </c>
      <c r="I72" s="138">
        <v>1.1</v>
      </c>
    </row>
    <row r="73" spans="1:9" ht="12.75">
      <c r="A73" s="130">
        <f t="shared" si="5"/>
        <v>113.09999999999992</v>
      </c>
      <c r="B73" s="131" t="s">
        <v>98</v>
      </c>
      <c r="C73" s="132" t="s">
        <v>206</v>
      </c>
      <c r="D73" s="138">
        <v>0.1</v>
      </c>
      <c r="F73" s="130">
        <f t="shared" si="6"/>
        <v>130.6999999999999</v>
      </c>
      <c r="G73" s="131" t="s">
        <v>95</v>
      </c>
      <c r="H73" s="132" t="s">
        <v>207</v>
      </c>
      <c r="I73" s="138">
        <v>6.5</v>
      </c>
    </row>
    <row r="74" spans="1:9" ht="12.75">
      <c r="A74" s="130">
        <f t="shared" si="5"/>
        <v>113.19999999999992</v>
      </c>
      <c r="B74" s="131" t="s">
        <v>98</v>
      </c>
      <c r="C74" s="132" t="s">
        <v>208</v>
      </c>
      <c r="D74" s="138">
        <v>0.1</v>
      </c>
      <c r="F74" s="130">
        <f t="shared" si="6"/>
        <v>137.1999999999999</v>
      </c>
      <c r="G74" s="131" t="s">
        <v>98</v>
      </c>
      <c r="H74" s="132" t="s">
        <v>209</v>
      </c>
      <c r="I74" s="138">
        <v>2.1</v>
      </c>
    </row>
    <row r="75" spans="1:9" ht="12.75">
      <c r="A75" s="130">
        <f t="shared" si="5"/>
        <v>113.29999999999991</v>
      </c>
      <c r="B75" s="131" t="s">
        <v>95</v>
      </c>
      <c r="C75" s="132" t="s">
        <v>210</v>
      </c>
      <c r="D75" s="138">
        <v>0.9</v>
      </c>
      <c r="F75" s="130">
        <f>F74+I74</f>
        <v>139.2999999999999</v>
      </c>
      <c r="G75" s="131" t="s">
        <v>95</v>
      </c>
      <c r="H75" s="132" t="s">
        <v>211</v>
      </c>
      <c r="I75" s="138">
        <v>2.8</v>
      </c>
    </row>
    <row r="76" spans="1:9" ht="12.75">
      <c r="A76" s="130">
        <f t="shared" si="5"/>
        <v>114.19999999999992</v>
      </c>
      <c r="B76" s="131" t="s">
        <v>98</v>
      </c>
      <c r="C76" s="132" t="s">
        <v>212</v>
      </c>
      <c r="D76" s="138">
        <v>0.1</v>
      </c>
      <c r="F76" s="130">
        <f>F75+I75</f>
        <v>142.0999999999999</v>
      </c>
      <c r="G76" s="131" t="s">
        <v>98</v>
      </c>
      <c r="H76" s="132" t="s">
        <v>213</v>
      </c>
      <c r="I76" s="138">
        <v>1.6</v>
      </c>
    </row>
    <row r="77" spans="1:9" ht="12.75">
      <c r="A77" s="130">
        <f t="shared" si="5"/>
        <v>114.29999999999991</v>
      </c>
      <c r="B77" s="131" t="s">
        <v>95</v>
      </c>
      <c r="C77" s="132" t="s">
        <v>214</v>
      </c>
      <c r="D77" s="138">
        <v>0.3</v>
      </c>
      <c r="F77" s="130">
        <f>F76+I76</f>
        <v>143.6999999999999</v>
      </c>
      <c r="G77" s="131" t="s">
        <v>95</v>
      </c>
      <c r="H77" s="132" t="s">
        <v>215</v>
      </c>
      <c r="I77" s="138">
        <v>11.5</v>
      </c>
    </row>
    <row r="78" spans="1:9" ht="12.75">
      <c r="A78" s="130">
        <f t="shared" si="5"/>
        <v>114.59999999999991</v>
      </c>
      <c r="B78" s="131" t="s">
        <v>98</v>
      </c>
      <c r="C78" s="132" t="s">
        <v>114</v>
      </c>
      <c r="D78" s="138">
        <v>2.4</v>
      </c>
      <c r="F78" s="130"/>
      <c r="G78" s="131"/>
      <c r="H78" s="132"/>
      <c r="I78" s="138"/>
    </row>
    <row r="79" spans="1:9" ht="12.75">
      <c r="A79" s="143"/>
      <c r="B79" s="131"/>
      <c r="C79" s="132"/>
      <c r="D79" s="138"/>
      <c r="F79" s="127">
        <f>F77+I77</f>
        <v>155.1999999999999</v>
      </c>
      <c r="G79" s="128" t="s">
        <v>98</v>
      </c>
      <c r="H79" s="128" t="s">
        <v>216</v>
      </c>
      <c r="I79" s="138"/>
    </row>
    <row r="80" spans="1:9" ht="12.75">
      <c r="A80" s="127">
        <f>A78+D78</f>
        <v>116.99999999999991</v>
      </c>
      <c r="B80" s="128" t="s">
        <v>98</v>
      </c>
      <c r="C80" s="128" t="s">
        <v>217</v>
      </c>
      <c r="D80" s="133"/>
      <c r="F80" s="130"/>
      <c r="G80" s="128"/>
      <c r="H80" s="128" t="s">
        <v>218</v>
      </c>
      <c r="I80" s="138"/>
    </row>
    <row r="81" spans="1:9" ht="12.75">
      <c r="A81" s="130"/>
      <c r="B81" s="131"/>
      <c r="C81" s="128" t="s">
        <v>219</v>
      </c>
      <c r="D81" s="133"/>
      <c r="F81" s="127"/>
      <c r="G81" s="128"/>
      <c r="H81" s="128" t="s">
        <v>220</v>
      </c>
      <c r="I81" s="133"/>
    </row>
    <row r="82" spans="1:9" ht="12.75">
      <c r="A82" s="130"/>
      <c r="B82" s="131"/>
      <c r="C82" s="128" t="s">
        <v>221</v>
      </c>
      <c r="D82" s="133"/>
      <c r="F82" s="130"/>
      <c r="G82" s="131"/>
      <c r="H82" s="128"/>
      <c r="I82" s="133"/>
    </row>
    <row r="83" spans="1:9" ht="12.75">
      <c r="A83" s="130"/>
      <c r="B83" s="131"/>
      <c r="C83" s="132"/>
      <c r="D83" s="133"/>
      <c r="F83" s="130"/>
      <c r="G83" s="131"/>
      <c r="H83" s="128"/>
      <c r="I83" s="133"/>
    </row>
    <row r="84" spans="1:9" ht="12.75">
      <c r="A84" s="130"/>
      <c r="B84" s="131"/>
      <c r="C84" s="132"/>
      <c r="D84" s="133"/>
      <c r="F84" s="130"/>
      <c r="G84" s="131"/>
      <c r="H84" s="132"/>
      <c r="I84" s="133"/>
    </row>
    <row r="85" spans="1:9" ht="12.75">
      <c r="A85" s="145"/>
      <c r="B85" s="146"/>
      <c r="C85" s="154"/>
      <c r="D85" s="148"/>
      <c r="F85" s="145"/>
      <c r="G85" s="146"/>
      <c r="H85" s="154"/>
      <c r="I85" s="148"/>
    </row>
    <row r="87" spans="1:9" ht="60.75">
      <c r="A87" s="116" t="s">
        <v>90</v>
      </c>
      <c r="B87" s="117" t="s">
        <v>91</v>
      </c>
      <c r="C87" s="118" t="s">
        <v>92</v>
      </c>
      <c r="D87" s="119" t="s">
        <v>93</v>
      </c>
      <c r="F87" s="116" t="s">
        <v>90</v>
      </c>
      <c r="G87" s="117" t="s">
        <v>91</v>
      </c>
      <c r="H87" s="118" t="s">
        <v>92</v>
      </c>
      <c r="I87" s="119" t="s">
        <v>93</v>
      </c>
    </row>
    <row r="88" spans="1:4" ht="12.75">
      <c r="A88" s="123">
        <f>F79</f>
        <v>155.1999999999999</v>
      </c>
      <c r="B88" s="124" t="s">
        <v>95</v>
      </c>
      <c r="C88" s="125" t="s">
        <v>222</v>
      </c>
      <c r="D88" s="126">
        <v>16.5</v>
      </c>
    </row>
    <row r="89" spans="1:4" ht="12.75">
      <c r="A89" s="130">
        <f aca="true" t="shared" si="7" ref="A89:A109">A88+D88</f>
        <v>171.6999999999999</v>
      </c>
      <c r="B89" s="131" t="s">
        <v>95</v>
      </c>
      <c r="C89" s="132" t="s">
        <v>223</v>
      </c>
      <c r="D89" s="133">
        <v>4.3</v>
      </c>
    </row>
    <row r="90" spans="1:4" ht="12.75">
      <c r="A90" s="130">
        <f t="shared" si="7"/>
        <v>175.99999999999991</v>
      </c>
      <c r="B90" s="131" t="s">
        <v>98</v>
      </c>
      <c r="C90" s="132" t="s">
        <v>224</v>
      </c>
      <c r="D90" s="133">
        <v>0.8</v>
      </c>
    </row>
    <row r="91" spans="1:4" ht="12.75">
      <c r="A91" s="130">
        <f t="shared" si="7"/>
        <v>176.79999999999993</v>
      </c>
      <c r="B91" s="131" t="s">
        <v>98</v>
      </c>
      <c r="C91" s="132" t="s">
        <v>225</v>
      </c>
      <c r="D91" s="133">
        <v>0.8</v>
      </c>
    </row>
    <row r="92" spans="1:4" ht="12.75">
      <c r="A92" s="130">
        <f t="shared" si="7"/>
        <v>177.59999999999994</v>
      </c>
      <c r="B92" s="131" t="s">
        <v>98</v>
      </c>
      <c r="C92" s="132" t="s">
        <v>226</v>
      </c>
      <c r="D92" s="133">
        <v>2.6</v>
      </c>
    </row>
    <row r="93" spans="1:4" ht="12.75">
      <c r="A93" s="130">
        <f t="shared" si="7"/>
        <v>180.19999999999993</v>
      </c>
      <c r="B93" s="131" t="s">
        <v>98</v>
      </c>
      <c r="C93" s="132" t="s">
        <v>227</v>
      </c>
      <c r="D93" s="133">
        <v>1.2</v>
      </c>
    </row>
    <row r="94" spans="1:4" ht="12.75">
      <c r="A94" s="130">
        <f t="shared" si="7"/>
        <v>181.39999999999992</v>
      </c>
      <c r="B94" s="131" t="s">
        <v>98</v>
      </c>
      <c r="C94" s="132" t="s">
        <v>228</v>
      </c>
      <c r="D94" s="133">
        <v>0.9</v>
      </c>
    </row>
    <row r="95" spans="1:4" ht="12.75">
      <c r="A95" s="130">
        <f t="shared" si="7"/>
        <v>182.29999999999993</v>
      </c>
      <c r="B95" s="131" t="s">
        <v>98</v>
      </c>
      <c r="C95" s="132" t="s">
        <v>229</v>
      </c>
      <c r="D95" s="133">
        <v>1.5</v>
      </c>
    </row>
    <row r="96" spans="1:4" ht="12.75">
      <c r="A96" s="130">
        <f t="shared" si="7"/>
        <v>183.79999999999993</v>
      </c>
      <c r="B96" s="131" t="s">
        <v>95</v>
      </c>
      <c r="C96" s="132" t="s">
        <v>230</v>
      </c>
      <c r="D96" s="133">
        <v>0.1</v>
      </c>
    </row>
    <row r="97" spans="1:4" ht="12.75">
      <c r="A97" s="130">
        <f t="shared" si="7"/>
        <v>183.89999999999992</v>
      </c>
      <c r="B97" s="131" t="s">
        <v>98</v>
      </c>
      <c r="C97" s="132" t="s">
        <v>209</v>
      </c>
      <c r="D97" s="133">
        <v>2</v>
      </c>
    </row>
    <row r="98" spans="1:4" ht="12.75">
      <c r="A98" s="130">
        <f t="shared" si="7"/>
        <v>185.89999999999992</v>
      </c>
      <c r="B98" s="131" t="s">
        <v>95</v>
      </c>
      <c r="C98" s="132" t="s">
        <v>231</v>
      </c>
      <c r="D98" s="133">
        <v>2.6</v>
      </c>
    </row>
    <row r="99" spans="1:4" ht="12.75">
      <c r="A99" s="130">
        <f t="shared" si="7"/>
        <v>188.49999999999991</v>
      </c>
      <c r="B99" s="131" t="s">
        <v>95</v>
      </c>
      <c r="C99" s="132" t="s">
        <v>232</v>
      </c>
      <c r="D99" s="133">
        <v>3.7</v>
      </c>
    </row>
    <row r="100" spans="1:4" ht="12.75">
      <c r="A100" s="130">
        <f t="shared" si="7"/>
        <v>192.1999999999999</v>
      </c>
      <c r="B100" s="131" t="s">
        <v>95</v>
      </c>
      <c r="C100" s="132" t="s">
        <v>233</v>
      </c>
      <c r="D100" s="133">
        <v>0.3</v>
      </c>
    </row>
    <row r="101" spans="1:4" ht="12.75">
      <c r="A101" s="130">
        <f t="shared" si="7"/>
        <v>192.49999999999991</v>
      </c>
      <c r="B101" s="131" t="s">
        <v>98</v>
      </c>
      <c r="C101" s="132" t="s">
        <v>222</v>
      </c>
      <c r="D101" s="133">
        <v>4.1</v>
      </c>
    </row>
    <row r="102" spans="1:4" ht="12.75">
      <c r="A102" s="130">
        <f t="shared" si="7"/>
        <v>196.5999999999999</v>
      </c>
      <c r="B102" s="131" t="s">
        <v>98</v>
      </c>
      <c r="C102" s="132" t="s">
        <v>234</v>
      </c>
      <c r="D102" s="133">
        <v>0.4</v>
      </c>
    </row>
    <row r="103" spans="1:4" ht="12.75">
      <c r="A103" s="130">
        <f t="shared" si="7"/>
        <v>196.99999999999991</v>
      </c>
      <c r="B103" s="131" t="s">
        <v>98</v>
      </c>
      <c r="C103" s="132" t="s">
        <v>235</v>
      </c>
      <c r="D103" s="133">
        <v>0.8</v>
      </c>
    </row>
    <row r="104" spans="1:4" ht="12.75">
      <c r="A104" s="130">
        <f t="shared" si="7"/>
        <v>197.79999999999993</v>
      </c>
      <c r="B104" s="131" t="s">
        <v>98</v>
      </c>
      <c r="C104" s="132" t="s">
        <v>236</v>
      </c>
      <c r="D104" s="133">
        <v>0.5</v>
      </c>
    </row>
    <row r="105" spans="1:4" ht="12.75">
      <c r="A105" s="130">
        <f t="shared" si="7"/>
        <v>198.29999999999993</v>
      </c>
      <c r="B105" s="131" t="s">
        <v>95</v>
      </c>
      <c r="C105" s="139" t="s">
        <v>237</v>
      </c>
      <c r="D105" s="133">
        <v>1.9</v>
      </c>
    </row>
    <row r="106" spans="1:4" ht="12.75">
      <c r="A106" s="130">
        <f t="shared" si="7"/>
        <v>200.19999999999993</v>
      </c>
      <c r="B106" s="131" t="s">
        <v>100</v>
      </c>
      <c r="C106" s="132" t="s">
        <v>238</v>
      </c>
      <c r="D106" s="133">
        <v>0.7</v>
      </c>
    </row>
    <row r="107" spans="1:4" ht="12.75">
      <c r="A107" s="130">
        <f t="shared" si="7"/>
        <v>200.89999999999992</v>
      </c>
      <c r="B107" s="131" t="s">
        <v>98</v>
      </c>
      <c r="C107" s="132" t="s">
        <v>110</v>
      </c>
      <c r="D107" s="133">
        <v>0.8</v>
      </c>
    </row>
    <row r="108" spans="1:4" ht="12.75">
      <c r="A108" s="130">
        <f t="shared" si="7"/>
        <v>201.69999999999993</v>
      </c>
      <c r="B108" s="131" t="s">
        <v>98</v>
      </c>
      <c r="C108" s="132" t="s">
        <v>104</v>
      </c>
      <c r="D108" s="133">
        <v>3</v>
      </c>
    </row>
    <row r="109" spans="1:4" ht="12.75">
      <c r="A109" s="130">
        <f t="shared" si="7"/>
        <v>204.69999999999993</v>
      </c>
      <c r="B109" s="131" t="s">
        <v>95</v>
      </c>
      <c r="C109" s="132" t="s">
        <v>239</v>
      </c>
      <c r="D109" s="133">
        <v>0.2</v>
      </c>
    </row>
    <row r="110" spans="1:4" ht="12.75">
      <c r="A110" s="155"/>
      <c r="B110" s="139"/>
      <c r="C110" s="139"/>
      <c r="D110" s="151"/>
    </row>
    <row r="111" spans="1:4" ht="12.75">
      <c r="A111" s="127">
        <f>A109+D109</f>
        <v>204.89999999999992</v>
      </c>
      <c r="B111" s="128" t="s">
        <v>98</v>
      </c>
      <c r="C111" s="128" t="s">
        <v>240</v>
      </c>
      <c r="D111" s="151"/>
    </row>
    <row r="112" spans="1:4" ht="12.75">
      <c r="A112" s="130"/>
      <c r="B112" s="128"/>
      <c r="C112" s="128" t="s">
        <v>241</v>
      </c>
      <c r="D112" s="151"/>
    </row>
    <row r="113" spans="1:4" ht="12.75">
      <c r="A113" s="130"/>
      <c r="B113" s="131"/>
      <c r="C113" s="128" t="s">
        <v>97</v>
      </c>
      <c r="D113" s="151"/>
    </row>
    <row r="114" spans="1:4" ht="12.75">
      <c r="A114" s="145"/>
      <c r="B114" s="146"/>
      <c r="C114" s="156" t="s">
        <v>242</v>
      </c>
      <c r="D114" s="148"/>
    </row>
    <row r="115" spans="1:4" ht="12.75">
      <c r="A115" s="134"/>
      <c r="B115" s="135"/>
      <c r="C115" s="136"/>
      <c r="D115" s="134"/>
    </row>
    <row r="116" spans="1:4" ht="12.75">
      <c r="A116" s="157"/>
      <c r="B116" s="158"/>
      <c r="C116" s="158"/>
      <c r="D116" s="158"/>
    </row>
  </sheetData>
  <sheetProtection selectLockedCells="1" selectUnlockedCells="1"/>
  <printOptions verticalCentered="1"/>
  <pageMargins left="0.43333333333333335" right="0.43333333333333335" top="0.6298611111111111" bottom="0.5902777777777778" header="0.2361111111111111" footer="0.2361111111111111"/>
  <pageSetup fitToHeight="0" fitToWidth="1" horizontalDpi="300" verticalDpi="300" orientation="portrait"/>
  <headerFooter alignWithMargins="0">
    <oddHeader>&amp;L&amp;8&amp;A&amp;C&amp;"Arial,Bold"VICTORIA 200KM BREVET&amp;R&amp;8Page &amp;P of &amp;N</oddHeader>
    <oddFooter>&amp;L&amp;8L = Left
SO = Straight On
R = Right&amp;CBC Randonneur Cycling Club
&amp;8Affiliated with &amp;"Arial,Italic"Cycling BC
&amp;"Arial,Regular"Founding member of&amp;"Arial,Italic" Les Randonneurs Mondiaux&amp;RRide Organizer: Mike Poplawski
(250) 882-1239</oddFoot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8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</cols>
  <sheetData>
    <row r="1" spans="1:4" ht="60.75">
      <c r="A1" s="116" t="s">
        <v>90</v>
      </c>
      <c r="B1" s="117" t="s">
        <v>91</v>
      </c>
      <c r="C1" s="118" t="s">
        <v>92</v>
      </c>
      <c r="D1" s="119" t="s">
        <v>93</v>
      </c>
    </row>
    <row r="2" spans="1:5" ht="12.75">
      <c r="A2" s="159"/>
      <c r="B2" s="160"/>
      <c r="C2" s="160" t="s">
        <v>243</v>
      </c>
      <c r="D2" s="161"/>
      <c r="E2" s="1" t="s">
        <v>244</v>
      </c>
    </row>
    <row r="3" spans="1:5" ht="12.75">
      <c r="A3" s="159"/>
      <c r="B3" s="160"/>
      <c r="C3" s="160" t="s">
        <v>245</v>
      </c>
      <c r="D3" s="161"/>
      <c r="E3" s="1" t="s">
        <v>246</v>
      </c>
    </row>
    <row r="4" spans="1:4" ht="12.75">
      <c r="A4" s="162"/>
      <c r="B4" s="163"/>
      <c r="C4" s="164"/>
      <c r="D4" s="165"/>
    </row>
    <row r="5" spans="1:5" ht="12.75">
      <c r="A5" s="159">
        <v>0</v>
      </c>
      <c r="B5" s="160" t="s">
        <v>98</v>
      </c>
      <c r="C5" s="166" t="s">
        <v>247</v>
      </c>
      <c r="D5" s="161">
        <v>0.3</v>
      </c>
      <c r="E5" s="1" t="s">
        <v>248</v>
      </c>
    </row>
    <row r="6" spans="1:5" ht="12.75">
      <c r="A6" s="159">
        <f aca="true" t="shared" si="0" ref="A6:A26">A5+D5</f>
        <v>0.3</v>
      </c>
      <c r="B6" s="160" t="s">
        <v>98</v>
      </c>
      <c r="C6" s="166" t="s">
        <v>249</v>
      </c>
      <c r="D6" s="161">
        <v>0.2</v>
      </c>
      <c r="E6" s="1" t="s">
        <v>250</v>
      </c>
    </row>
    <row r="7" spans="1:4" ht="12.75">
      <c r="A7" s="159">
        <f t="shared" si="0"/>
        <v>0.5</v>
      </c>
      <c r="B7" s="160" t="s">
        <v>100</v>
      </c>
      <c r="C7" s="166" t="s">
        <v>251</v>
      </c>
      <c r="D7" s="161">
        <v>0.4</v>
      </c>
    </row>
    <row r="8" spans="1:4" ht="12.75">
      <c r="A8" s="159">
        <f t="shared" si="0"/>
        <v>0.9</v>
      </c>
      <c r="B8" s="160" t="s">
        <v>95</v>
      </c>
      <c r="C8" s="166" t="s">
        <v>252</v>
      </c>
      <c r="D8" s="161">
        <v>0.2</v>
      </c>
    </row>
    <row r="9" spans="1:4" ht="12.75">
      <c r="A9" s="159">
        <f t="shared" si="0"/>
        <v>1.1</v>
      </c>
      <c r="B9" s="160" t="s">
        <v>95</v>
      </c>
      <c r="C9" s="166" t="s">
        <v>253</v>
      </c>
      <c r="D9" s="161">
        <v>0.1</v>
      </c>
    </row>
    <row r="10" spans="1:4" ht="12.75">
      <c r="A10" s="162">
        <f t="shared" si="0"/>
        <v>1.2000000000000002</v>
      </c>
      <c r="B10" s="167" t="s">
        <v>95</v>
      </c>
      <c r="C10" s="168" t="s">
        <v>254</v>
      </c>
      <c r="D10" s="165">
        <v>0.2</v>
      </c>
    </row>
    <row r="11" spans="1:4" ht="12.75">
      <c r="A11" s="162">
        <f t="shared" si="0"/>
        <v>1.4000000000000001</v>
      </c>
      <c r="B11" s="169" t="s">
        <v>98</v>
      </c>
      <c r="C11" s="168" t="s">
        <v>255</v>
      </c>
      <c r="D11" s="165">
        <v>0.1</v>
      </c>
    </row>
    <row r="12" spans="1:4" ht="12.75">
      <c r="A12" s="162">
        <f t="shared" si="0"/>
        <v>1.5000000000000002</v>
      </c>
      <c r="B12" s="169" t="s">
        <v>95</v>
      </c>
      <c r="C12" s="168" t="s">
        <v>256</v>
      </c>
      <c r="D12" s="165">
        <v>1.6</v>
      </c>
    </row>
    <row r="13" spans="1:4" ht="12.75">
      <c r="A13" s="162">
        <f t="shared" si="0"/>
        <v>3.1000000000000005</v>
      </c>
      <c r="B13" s="169" t="s">
        <v>98</v>
      </c>
      <c r="C13" s="168" t="s">
        <v>257</v>
      </c>
      <c r="D13" s="165">
        <v>0.5</v>
      </c>
    </row>
    <row r="14" spans="1:4" ht="12.75">
      <c r="A14" s="162">
        <f t="shared" si="0"/>
        <v>3.6000000000000005</v>
      </c>
      <c r="B14" s="169" t="s">
        <v>98</v>
      </c>
      <c r="C14" s="168" t="s">
        <v>256</v>
      </c>
      <c r="D14" s="165">
        <v>2.2</v>
      </c>
    </row>
    <row r="15" spans="1:4" ht="12.75">
      <c r="A15" s="162">
        <f t="shared" si="0"/>
        <v>5.800000000000001</v>
      </c>
      <c r="B15" s="169" t="s">
        <v>98</v>
      </c>
      <c r="C15" s="168" t="s">
        <v>258</v>
      </c>
      <c r="D15" s="165">
        <v>1.5</v>
      </c>
    </row>
    <row r="16" spans="1:4" ht="12.75">
      <c r="A16" s="162">
        <f t="shared" si="0"/>
        <v>7.300000000000001</v>
      </c>
      <c r="B16" s="169" t="s">
        <v>100</v>
      </c>
      <c r="C16" s="168" t="s">
        <v>259</v>
      </c>
      <c r="D16" s="165">
        <v>0.2</v>
      </c>
    </row>
    <row r="17" spans="1:4" ht="12.75">
      <c r="A17" s="162">
        <f t="shared" si="0"/>
        <v>7.500000000000001</v>
      </c>
      <c r="B17" s="169" t="s">
        <v>100</v>
      </c>
      <c r="C17" s="168" t="s">
        <v>260</v>
      </c>
      <c r="D17" s="165">
        <v>0.3</v>
      </c>
    </row>
    <row r="18" spans="1:4" ht="12.75">
      <c r="A18" s="162">
        <f t="shared" si="0"/>
        <v>7.800000000000001</v>
      </c>
      <c r="B18" s="169" t="s">
        <v>95</v>
      </c>
      <c r="C18" s="168" t="s">
        <v>261</v>
      </c>
      <c r="D18" s="165">
        <v>1.8</v>
      </c>
    </row>
    <row r="19" spans="1:4" ht="12.75">
      <c r="A19" s="162">
        <f t="shared" si="0"/>
        <v>9.600000000000001</v>
      </c>
      <c r="B19" s="169" t="s">
        <v>98</v>
      </c>
      <c r="C19" s="168" t="s">
        <v>262</v>
      </c>
      <c r="D19" s="165">
        <v>0.9</v>
      </c>
    </row>
    <row r="20" spans="1:4" ht="12.75">
      <c r="A20" s="162">
        <f t="shared" si="0"/>
        <v>10.500000000000002</v>
      </c>
      <c r="B20" s="169" t="s">
        <v>98</v>
      </c>
      <c r="C20" s="168" t="s">
        <v>151</v>
      </c>
      <c r="D20" s="165">
        <v>1</v>
      </c>
    </row>
    <row r="21" spans="1:4" ht="12.75">
      <c r="A21" s="162">
        <f t="shared" si="0"/>
        <v>11.500000000000002</v>
      </c>
      <c r="B21" s="169" t="s">
        <v>98</v>
      </c>
      <c r="C21" s="168" t="s">
        <v>263</v>
      </c>
      <c r="D21" s="165">
        <v>0.3</v>
      </c>
    </row>
    <row r="22" spans="1:5" ht="12.75">
      <c r="A22" s="162">
        <f t="shared" si="0"/>
        <v>11.800000000000002</v>
      </c>
      <c r="B22" s="163" t="s">
        <v>95</v>
      </c>
      <c r="C22" s="164" t="s">
        <v>145</v>
      </c>
      <c r="D22" s="165">
        <v>0.6</v>
      </c>
      <c r="E22"/>
    </row>
    <row r="23" spans="1:4" ht="12.75">
      <c r="A23" s="162">
        <f t="shared" si="0"/>
        <v>12.400000000000002</v>
      </c>
      <c r="B23" s="163" t="s">
        <v>100</v>
      </c>
      <c r="C23" s="164" t="s">
        <v>264</v>
      </c>
      <c r="D23" s="165">
        <v>0.8</v>
      </c>
    </row>
    <row r="24" spans="1:4" ht="12.75">
      <c r="A24" s="162">
        <f t="shared" si="0"/>
        <v>13.200000000000003</v>
      </c>
      <c r="B24" s="163" t="s">
        <v>100</v>
      </c>
      <c r="C24" s="164" t="s">
        <v>265</v>
      </c>
      <c r="D24" s="165">
        <v>1.4</v>
      </c>
    </row>
    <row r="25" spans="1:4" ht="12.75">
      <c r="A25" s="162">
        <f t="shared" si="0"/>
        <v>14.600000000000003</v>
      </c>
      <c r="B25" s="163" t="s">
        <v>98</v>
      </c>
      <c r="C25" s="164" t="s">
        <v>266</v>
      </c>
      <c r="D25" s="165">
        <v>1.9</v>
      </c>
    </row>
    <row r="26" spans="1:4" ht="12.75">
      <c r="A26" s="170">
        <f t="shared" si="0"/>
        <v>16.500000000000004</v>
      </c>
      <c r="B26" s="171" t="s">
        <v>98</v>
      </c>
      <c r="C26" s="172" t="s">
        <v>137</v>
      </c>
      <c r="D26" s="173">
        <v>4</v>
      </c>
    </row>
    <row r="27" spans="1:4" ht="60.75">
      <c r="A27" s="116" t="s">
        <v>90</v>
      </c>
      <c r="B27" s="117" t="s">
        <v>91</v>
      </c>
      <c r="C27" s="118" t="s">
        <v>92</v>
      </c>
      <c r="D27" s="119" t="s">
        <v>93</v>
      </c>
    </row>
    <row r="28" spans="1:4" ht="12.75">
      <c r="A28" s="162">
        <f>A26+D26</f>
        <v>20.500000000000004</v>
      </c>
      <c r="B28" s="169" t="s">
        <v>100</v>
      </c>
      <c r="C28" s="168" t="s">
        <v>267</v>
      </c>
      <c r="D28" s="165">
        <v>0.8</v>
      </c>
    </row>
    <row r="29" spans="1:4" ht="12.75">
      <c r="A29" s="162">
        <f aca="true" t="shared" si="1" ref="A29:A34">A28+D28</f>
        <v>21.300000000000004</v>
      </c>
      <c r="B29" s="169" t="s">
        <v>95</v>
      </c>
      <c r="C29" s="168" t="s">
        <v>268</v>
      </c>
      <c r="D29" s="165">
        <v>0.6</v>
      </c>
    </row>
    <row r="30" spans="1:4" ht="12.75">
      <c r="A30" s="162">
        <f t="shared" si="1"/>
        <v>21.900000000000006</v>
      </c>
      <c r="B30" s="169" t="s">
        <v>100</v>
      </c>
      <c r="C30" s="168" t="s">
        <v>269</v>
      </c>
      <c r="D30" s="165">
        <v>0.1</v>
      </c>
    </row>
    <row r="31" spans="1:5" ht="12.75">
      <c r="A31" s="162">
        <f t="shared" si="1"/>
        <v>22.000000000000007</v>
      </c>
      <c r="B31" s="163" t="s">
        <v>95</v>
      </c>
      <c r="C31" s="164" t="s">
        <v>270</v>
      </c>
      <c r="D31" s="165">
        <v>0.1</v>
      </c>
      <c r="E31" s="1" t="s">
        <v>271</v>
      </c>
    </row>
    <row r="32" spans="1:4" ht="12.75">
      <c r="A32" s="162">
        <f t="shared" si="1"/>
        <v>22.10000000000001</v>
      </c>
      <c r="B32" s="163" t="s">
        <v>98</v>
      </c>
      <c r="C32" s="164" t="s">
        <v>272</v>
      </c>
      <c r="D32" s="165">
        <v>2.3</v>
      </c>
    </row>
    <row r="33" spans="1:4" ht="12.75">
      <c r="A33" s="162">
        <f t="shared" si="1"/>
        <v>24.40000000000001</v>
      </c>
      <c r="B33" s="163" t="s">
        <v>95</v>
      </c>
      <c r="C33" s="164" t="s">
        <v>273</v>
      </c>
      <c r="D33" s="165">
        <v>1.2</v>
      </c>
    </row>
    <row r="34" spans="1:4" ht="12.75">
      <c r="A34" s="162">
        <f t="shared" si="1"/>
        <v>25.60000000000001</v>
      </c>
      <c r="B34" s="163" t="s">
        <v>98</v>
      </c>
      <c r="C34" s="164" t="s">
        <v>274</v>
      </c>
      <c r="D34" s="165">
        <v>0</v>
      </c>
    </row>
    <row r="35" spans="1:4" ht="12.75">
      <c r="A35" s="162"/>
      <c r="B35" s="163" t="s">
        <v>100</v>
      </c>
      <c r="C35" s="164" t="s">
        <v>275</v>
      </c>
      <c r="D35" s="165"/>
    </row>
    <row r="36" spans="1:4" ht="12.75">
      <c r="A36" s="162">
        <f>A34+D34</f>
        <v>25.60000000000001</v>
      </c>
      <c r="B36" s="163" t="s">
        <v>100</v>
      </c>
      <c r="C36" s="164" t="s">
        <v>276</v>
      </c>
      <c r="D36" s="165">
        <v>1.4</v>
      </c>
    </row>
    <row r="37" spans="1:4" ht="12.75">
      <c r="A37" s="162">
        <f>A36+D36</f>
        <v>27.000000000000007</v>
      </c>
      <c r="B37" s="163" t="s">
        <v>95</v>
      </c>
      <c r="C37" s="164" t="s">
        <v>277</v>
      </c>
      <c r="D37" s="165">
        <v>2</v>
      </c>
    </row>
    <row r="38" spans="1:5" ht="12.75">
      <c r="A38" s="162">
        <f>A37+D37</f>
        <v>29.000000000000007</v>
      </c>
      <c r="B38" s="163" t="s">
        <v>98</v>
      </c>
      <c r="C38" s="164" t="s">
        <v>278</v>
      </c>
      <c r="D38" s="165">
        <v>0.1</v>
      </c>
      <c r="E38" s="1" t="s">
        <v>271</v>
      </c>
    </row>
    <row r="39" spans="1:4" ht="12.75">
      <c r="A39" s="162">
        <f>A38+D38</f>
        <v>29.10000000000001</v>
      </c>
      <c r="B39" s="163" t="s">
        <v>95</v>
      </c>
      <c r="C39" s="164" t="s">
        <v>279</v>
      </c>
      <c r="D39" s="165">
        <v>3.6</v>
      </c>
    </row>
    <row r="40" spans="1:4" ht="12.75">
      <c r="A40" s="162"/>
      <c r="B40" s="163"/>
      <c r="C40" s="164"/>
      <c r="D40" s="165"/>
    </row>
    <row r="41" spans="1:4" ht="12.75">
      <c r="A41" s="162">
        <f>A39+D39</f>
        <v>32.70000000000001</v>
      </c>
      <c r="B41" s="163" t="s">
        <v>95</v>
      </c>
      <c r="C41" s="163" t="s">
        <v>140</v>
      </c>
      <c r="D41" s="165"/>
    </row>
    <row r="42" spans="1:4" ht="12.75">
      <c r="A42" s="162"/>
      <c r="B42" s="163"/>
      <c r="C42" s="163" t="s">
        <v>30</v>
      </c>
      <c r="D42" s="165"/>
    </row>
    <row r="43" spans="1:4" ht="12.75">
      <c r="A43" s="162"/>
      <c r="B43" s="163"/>
      <c r="C43" s="164"/>
      <c r="D43" s="165"/>
    </row>
    <row r="44" spans="1:4" ht="12.75">
      <c r="A44" s="174"/>
      <c r="B44" s="175"/>
      <c r="C44" s="176"/>
      <c r="D44" s="165"/>
    </row>
    <row r="45" spans="1:4" ht="12.75">
      <c r="A45" s="162"/>
      <c r="B45" s="163"/>
      <c r="C45" s="163"/>
      <c r="D45" s="165"/>
    </row>
    <row r="46" spans="1:4" ht="12.75">
      <c r="A46" s="162"/>
      <c r="B46" s="163"/>
      <c r="C46" s="163"/>
      <c r="D46" s="165"/>
    </row>
    <row r="47" spans="1:4" ht="12.75">
      <c r="A47" s="162"/>
      <c r="B47" s="163"/>
      <c r="C47" s="164"/>
      <c r="D47" s="165"/>
    </row>
    <row r="48" spans="1:4" ht="12.75">
      <c r="A48" s="162"/>
      <c r="B48" s="163"/>
      <c r="C48" s="164"/>
      <c r="D48" s="165"/>
    </row>
    <row r="49" spans="1:4" ht="12.75">
      <c r="A49" s="162"/>
      <c r="B49" s="163"/>
      <c r="C49" s="164"/>
      <c r="D49" s="165"/>
    </row>
    <row r="50" spans="1:4" ht="60.75">
      <c r="A50" s="116" t="s">
        <v>90</v>
      </c>
      <c r="B50" s="117" t="s">
        <v>91</v>
      </c>
      <c r="C50" s="118" t="s">
        <v>92</v>
      </c>
      <c r="D50" s="119" t="s">
        <v>93</v>
      </c>
    </row>
    <row r="51" spans="1:4" ht="12.75">
      <c r="A51" s="162"/>
      <c r="B51" s="163" t="s">
        <v>95</v>
      </c>
      <c r="C51" s="164" t="s">
        <v>280</v>
      </c>
      <c r="D51" s="165">
        <v>2.8</v>
      </c>
    </row>
    <row r="52" spans="1:4" ht="12.75">
      <c r="A52" s="162">
        <f>A41+D51</f>
        <v>35.50000000000001</v>
      </c>
      <c r="B52" s="163" t="s">
        <v>100</v>
      </c>
      <c r="C52" s="177" t="s">
        <v>193</v>
      </c>
      <c r="D52" s="165">
        <v>1.4</v>
      </c>
    </row>
    <row r="53" spans="1:5" ht="12.75">
      <c r="A53" s="162">
        <f aca="true" t="shared" si="2" ref="A53:A72">A52+D52</f>
        <v>36.900000000000006</v>
      </c>
      <c r="B53" s="163" t="s">
        <v>100</v>
      </c>
      <c r="C53" s="164" t="s">
        <v>281</v>
      </c>
      <c r="D53" s="165">
        <v>1.4</v>
      </c>
      <c r="E53"/>
    </row>
    <row r="54" spans="1:4" ht="12.75">
      <c r="A54" s="162">
        <f t="shared" si="2"/>
        <v>38.300000000000004</v>
      </c>
      <c r="B54" s="163" t="s">
        <v>98</v>
      </c>
      <c r="C54" s="164" t="s">
        <v>282</v>
      </c>
      <c r="D54" s="165">
        <v>0.3</v>
      </c>
    </row>
    <row r="55" spans="1:4" ht="12.75">
      <c r="A55" s="162">
        <f t="shared" si="2"/>
        <v>38.6</v>
      </c>
      <c r="B55" s="163" t="s">
        <v>98</v>
      </c>
      <c r="C55" s="164" t="s">
        <v>156</v>
      </c>
      <c r="D55" s="165">
        <v>0.6</v>
      </c>
    </row>
    <row r="56" spans="1:4" ht="12.75">
      <c r="A56" s="162">
        <f t="shared" si="2"/>
        <v>39.2</v>
      </c>
      <c r="B56" s="163" t="s">
        <v>98</v>
      </c>
      <c r="C56" s="164" t="s">
        <v>283</v>
      </c>
      <c r="D56" s="165">
        <v>0.1</v>
      </c>
    </row>
    <row r="57" spans="1:4" ht="12.75">
      <c r="A57" s="162">
        <f t="shared" si="2"/>
        <v>39.300000000000004</v>
      </c>
      <c r="B57" s="163" t="s">
        <v>95</v>
      </c>
      <c r="C57" s="164" t="s">
        <v>284</v>
      </c>
      <c r="D57" s="165">
        <v>0.3</v>
      </c>
    </row>
    <row r="58" spans="1:4" ht="12.75">
      <c r="A58" s="162">
        <f t="shared" si="2"/>
        <v>39.6</v>
      </c>
      <c r="B58" s="163" t="s">
        <v>100</v>
      </c>
      <c r="C58" s="164" t="s">
        <v>285</v>
      </c>
      <c r="D58" s="165">
        <v>0.6</v>
      </c>
    </row>
    <row r="59" spans="1:4" ht="12.75">
      <c r="A59" s="162">
        <f t="shared" si="2"/>
        <v>40.2</v>
      </c>
      <c r="B59" s="163" t="s">
        <v>98</v>
      </c>
      <c r="C59" s="164" t="s">
        <v>286</v>
      </c>
      <c r="D59" s="165">
        <v>0.2</v>
      </c>
    </row>
    <row r="60" spans="1:5" ht="12.75">
      <c r="A60" s="162">
        <f t="shared" si="2"/>
        <v>40.400000000000006</v>
      </c>
      <c r="B60" s="163" t="s">
        <v>98</v>
      </c>
      <c r="C60" s="164" t="s">
        <v>287</v>
      </c>
      <c r="D60" s="165">
        <v>0.6</v>
      </c>
      <c r="E60"/>
    </row>
    <row r="61" spans="1:4" ht="12.75">
      <c r="A61" s="162">
        <f t="shared" si="2"/>
        <v>41.00000000000001</v>
      </c>
      <c r="B61" s="163" t="s">
        <v>95</v>
      </c>
      <c r="C61" s="164" t="s">
        <v>288</v>
      </c>
      <c r="D61" s="165">
        <v>0.1</v>
      </c>
    </row>
    <row r="62" spans="1:4" ht="12.75">
      <c r="A62" s="162">
        <f t="shared" si="2"/>
        <v>41.10000000000001</v>
      </c>
      <c r="B62" s="163" t="s">
        <v>98</v>
      </c>
      <c r="C62" s="164" t="s">
        <v>289</v>
      </c>
      <c r="D62" s="165">
        <v>0.1</v>
      </c>
    </row>
    <row r="63" spans="1:4" ht="12.75">
      <c r="A63" s="162">
        <f t="shared" si="2"/>
        <v>41.20000000000001</v>
      </c>
      <c r="B63" s="163" t="s">
        <v>95</v>
      </c>
      <c r="C63" s="164" t="s">
        <v>290</v>
      </c>
      <c r="D63" s="165">
        <v>0.2</v>
      </c>
    </row>
    <row r="64" spans="1:4" ht="12.75">
      <c r="A64" s="162">
        <f t="shared" si="2"/>
        <v>41.40000000000001</v>
      </c>
      <c r="B64" s="163" t="s">
        <v>98</v>
      </c>
      <c r="C64" s="164" t="s">
        <v>291</v>
      </c>
      <c r="D64" s="165">
        <v>0.1</v>
      </c>
    </row>
    <row r="65" spans="1:4" ht="12.75">
      <c r="A65" s="162">
        <f t="shared" si="2"/>
        <v>41.500000000000014</v>
      </c>
      <c r="B65" s="163" t="s">
        <v>95</v>
      </c>
      <c r="C65" s="164" t="s">
        <v>292</v>
      </c>
      <c r="D65" s="165">
        <v>0.1</v>
      </c>
    </row>
    <row r="66" spans="1:4" ht="12.75">
      <c r="A66" s="162">
        <f t="shared" si="2"/>
        <v>41.600000000000016</v>
      </c>
      <c r="B66" s="163" t="s">
        <v>98</v>
      </c>
      <c r="C66" s="164" t="s">
        <v>293</v>
      </c>
      <c r="D66" s="165">
        <v>0.1</v>
      </c>
    </row>
    <row r="67" spans="1:4" ht="12.75">
      <c r="A67" s="162">
        <f t="shared" si="2"/>
        <v>41.70000000000002</v>
      </c>
      <c r="B67" s="163" t="s">
        <v>95</v>
      </c>
      <c r="C67" s="164" t="s">
        <v>294</v>
      </c>
      <c r="D67" s="165">
        <v>4.9</v>
      </c>
    </row>
    <row r="68" spans="1:4" ht="12.75">
      <c r="A68" s="162">
        <f t="shared" si="2"/>
        <v>46.600000000000016</v>
      </c>
      <c r="B68" s="163" t="s">
        <v>98</v>
      </c>
      <c r="C68" s="164" t="s">
        <v>295</v>
      </c>
      <c r="D68" s="165">
        <v>0.1</v>
      </c>
    </row>
    <row r="69" spans="1:4" ht="12.75">
      <c r="A69" s="162">
        <f t="shared" si="2"/>
        <v>46.70000000000002</v>
      </c>
      <c r="B69" s="163" t="s">
        <v>95</v>
      </c>
      <c r="C69" s="164" t="s">
        <v>177</v>
      </c>
      <c r="D69" s="165">
        <v>0.5</v>
      </c>
    </row>
    <row r="70" spans="1:4" ht="12.75">
      <c r="A70" s="162">
        <f t="shared" si="2"/>
        <v>47.20000000000002</v>
      </c>
      <c r="B70" s="163" t="s">
        <v>100</v>
      </c>
      <c r="C70" s="164" t="s">
        <v>175</v>
      </c>
      <c r="D70" s="165">
        <v>0.2</v>
      </c>
    </row>
    <row r="71" spans="1:4" ht="12.75">
      <c r="A71" s="162">
        <f t="shared" si="2"/>
        <v>47.40000000000002</v>
      </c>
      <c r="B71" s="163" t="s">
        <v>98</v>
      </c>
      <c r="C71" s="164" t="s">
        <v>296</v>
      </c>
      <c r="D71" s="165">
        <v>0.1</v>
      </c>
    </row>
    <row r="72" spans="1:4" ht="12.75">
      <c r="A72" s="170">
        <f t="shared" si="2"/>
        <v>47.50000000000002</v>
      </c>
      <c r="B72" s="146" t="s">
        <v>100</v>
      </c>
      <c r="C72" s="178" t="s">
        <v>171</v>
      </c>
      <c r="D72" s="179">
        <v>0.6</v>
      </c>
    </row>
    <row r="73" spans="1:5" ht="60.75">
      <c r="A73" s="116" t="s">
        <v>90</v>
      </c>
      <c r="B73" s="117" t="s">
        <v>91</v>
      </c>
      <c r="C73" s="118" t="s">
        <v>92</v>
      </c>
      <c r="D73" s="119" t="s">
        <v>93</v>
      </c>
      <c r="E73" s="1" t="s">
        <v>271</v>
      </c>
    </row>
    <row r="74" spans="1:4" ht="12.75">
      <c r="A74" s="162">
        <f>A72+D72</f>
        <v>48.10000000000002</v>
      </c>
      <c r="B74" s="163" t="s">
        <v>95</v>
      </c>
      <c r="C74" s="164" t="s">
        <v>169</v>
      </c>
      <c r="D74" s="165">
        <v>0.9</v>
      </c>
    </row>
    <row r="75" spans="1:4" ht="12.75">
      <c r="A75" s="162">
        <f aca="true" t="shared" si="3" ref="A75:A83">A74+D74</f>
        <v>49.00000000000002</v>
      </c>
      <c r="B75" s="163" t="s">
        <v>98</v>
      </c>
      <c r="C75" s="164" t="s">
        <v>256</v>
      </c>
      <c r="D75" s="165">
        <v>3.1</v>
      </c>
    </row>
    <row r="76" spans="1:4" ht="12.75">
      <c r="A76" s="162">
        <f t="shared" si="3"/>
        <v>52.10000000000002</v>
      </c>
      <c r="B76" s="169" t="s">
        <v>95</v>
      </c>
      <c r="C76" s="168" t="s">
        <v>297</v>
      </c>
      <c r="D76" s="165">
        <v>0.1</v>
      </c>
    </row>
    <row r="77" spans="1:5" ht="12.75">
      <c r="A77" s="162">
        <f t="shared" si="3"/>
        <v>52.200000000000024</v>
      </c>
      <c r="B77" s="163" t="s">
        <v>98</v>
      </c>
      <c r="C77" s="164" t="s">
        <v>298</v>
      </c>
      <c r="D77" s="165">
        <v>0.4</v>
      </c>
      <c r="E77" s="1" t="s">
        <v>271</v>
      </c>
    </row>
    <row r="78" spans="1:4" ht="12.75">
      <c r="A78" s="159">
        <f t="shared" si="3"/>
        <v>52.60000000000002</v>
      </c>
      <c r="B78" s="180" t="s">
        <v>100</v>
      </c>
      <c r="C78" s="181" t="s">
        <v>299</v>
      </c>
      <c r="D78" s="161">
        <v>0.7</v>
      </c>
    </row>
    <row r="79" spans="1:4" ht="12.75">
      <c r="A79" s="159">
        <f t="shared" si="3"/>
        <v>53.300000000000026</v>
      </c>
      <c r="B79" s="160" t="s">
        <v>98</v>
      </c>
      <c r="C79" s="166" t="s">
        <v>300</v>
      </c>
      <c r="D79" s="161">
        <v>0.2</v>
      </c>
    </row>
    <row r="80" spans="1:4" ht="12.75">
      <c r="A80" s="159">
        <f t="shared" si="3"/>
        <v>53.50000000000003</v>
      </c>
      <c r="B80" s="160" t="s">
        <v>95</v>
      </c>
      <c r="C80" s="166" t="s">
        <v>301</v>
      </c>
      <c r="D80" s="161">
        <v>0.3</v>
      </c>
    </row>
    <row r="81" spans="1:4" ht="12.75">
      <c r="A81" s="159">
        <f t="shared" si="3"/>
        <v>53.800000000000026</v>
      </c>
      <c r="B81" s="160" t="s">
        <v>98</v>
      </c>
      <c r="C81" s="166" t="s">
        <v>302</v>
      </c>
      <c r="D81" s="161">
        <v>0.3</v>
      </c>
    </row>
    <row r="82" spans="1:4" ht="12.75">
      <c r="A82" s="159">
        <f t="shared" si="3"/>
        <v>54.10000000000002</v>
      </c>
      <c r="B82" s="160" t="s">
        <v>98</v>
      </c>
      <c r="C82" s="166" t="s">
        <v>303</v>
      </c>
      <c r="D82" s="161">
        <v>0.3</v>
      </c>
    </row>
    <row r="83" spans="1:4" ht="12.75">
      <c r="A83" s="159">
        <f t="shared" si="3"/>
        <v>54.40000000000002</v>
      </c>
      <c r="B83" s="160" t="s">
        <v>98</v>
      </c>
      <c r="C83" s="166" t="s">
        <v>247</v>
      </c>
      <c r="D83" s="161">
        <v>0.2</v>
      </c>
    </row>
    <row r="84" spans="1:4" ht="12.75">
      <c r="A84" s="159"/>
      <c r="B84" s="160"/>
      <c r="C84" s="160"/>
      <c r="D84" s="161"/>
    </row>
    <row r="85" spans="1:4" ht="12.75">
      <c r="A85" s="159">
        <f>A83+D83</f>
        <v>54.60000000000002</v>
      </c>
      <c r="B85" s="160" t="s">
        <v>98</v>
      </c>
      <c r="C85" s="160" t="s">
        <v>304</v>
      </c>
      <c r="D85" s="161"/>
    </row>
    <row r="86" spans="1:4" ht="12.75">
      <c r="A86" s="159"/>
      <c r="B86" s="180"/>
      <c r="C86" s="182" t="s">
        <v>305</v>
      </c>
      <c r="D86" s="161"/>
    </row>
    <row r="87" spans="1:4" ht="12.75">
      <c r="A87" s="162"/>
      <c r="B87" s="169"/>
      <c r="C87" s="168"/>
      <c r="D87" s="165"/>
    </row>
    <row r="88" spans="1:4" ht="12.75">
      <c r="A88" s="162"/>
      <c r="B88" s="169"/>
      <c r="C88" s="168"/>
      <c r="D88" s="165"/>
    </row>
    <row r="89" spans="1:4" ht="12.75">
      <c r="A89" s="162"/>
      <c r="B89" s="169"/>
      <c r="C89" s="168"/>
      <c r="D89" s="165"/>
    </row>
    <row r="90" spans="1:4" ht="12.75">
      <c r="A90" s="162"/>
      <c r="B90" s="169"/>
      <c r="C90" s="168"/>
      <c r="D90" s="165"/>
    </row>
    <row r="91" spans="1:4" ht="12.75">
      <c r="A91" s="162"/>
      <c r="B91" s="163"/>
      <c r="C91" s="164"/>
      <c r="D91" s="165"/>
    </row>
    <row r="92" spans="1:4" ht="12.75">
      <c r="A92" s="162"/>
      <c r="B92" s="163"/>
      <c r="C92" s="164"/>
      <c r="D92" s="165"/>
    </row>
    <row r="93" spans="1:4" ht="12.75">
      <c r="A93" s="162"/>
      <c r="B93" s="163"/>
      <c r="C93" s="164"/>
      <c r="D93" s="165"/>
    </row>
    <row r="94" spans="1:4" ht="12.75">
      <c r="A94" s="162"/>
      <c r="B94" s="163"/>
      <c r="C94" s="164"/>
      <c r="D94" s="165"/>
    </row>
    <row r="95" spans="1:4" ht="12.75">
      <c r="A95" s="162"/>
      <c r="B95" s="163"/>
      <c r="C95" s="164"/>
      <c r="D95" s="165"/>
    </row>
    <row r="96" spans="1:4" ht="12.75">
      <c r="A96" s="162"/>
      <c r="B96" s="169"/>
      <c r="C96" s="168"/>
      <c r="D96" s="165"/>
    </row>
    <row r="97" spans="1:4" ht="12.75">
      <c r="A97" s="162"/>
      <c r="B97" s="163"/>
      <c r="C97" s="164"/>
      <c r="D97" s="165"/>
    </row>
    <row r="98" spans="1:4" ht="12.75">
      <c r="A98" s="162"/>
      <c r="B98" s="163"/>
      <c r="C98" s="183" t="s">
        <v>306</v>
      </c>
      <c r="D98" s="165"/>
    </row>
    <row r="99" spans="1:4" ht="12.75">
      <c r="A99" s="162"/>
      <c r="B99" s="169"/>
      <c r="C99" s="168"/>
      <c r="D99" s="165"/>
    </row>
    <row r="100" spans="1:4" ht="12.75">
      <c r="A100" s="170"/>
      <c r="B100" s="171"/>
      <c r="C100" s="112"/>
      <c r="D100" s="173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42578125" style="0" customWidth="1"/>
  </cols>
  <sheetData>
    <row r="1" spans="1:4" ht="15">
      <c r="A1" s="184" t="str">
        <f>Brevet_Number</f>
        <v>VI0203A</v>
      </c>
      <c r="B1" s="184"/>
      <c r="C1" s="184"/>
      <c r="D1" s="184"/>
    </row>
    <row r="2" spans="1:4" ht="15">
      <c r="A2" s="185" t="s">
        <v>307</v>
      </c>
      <c r="B2" s="185"/>
      <c r="C2" s="186"/>
      <c r="D2" s="187" t="s">
        <v>308</v>
      </c>
    </row>
    <row r="3" spans="1:5" ht="12.75">
      <c r="A3" s="85">
        <f>Riders!C4</f>
      </c>
      <c r="B3" s="33">
        <f>Riders!B4</f>
      </c>
      <c r="C3" s="33"/>
      <c r="D3" s="188">
        <f>Riders!O4</f>
      </c>
      <c r="E3">
        <f>IF(ISBLANK(Riders!P4),"",Riders!P4)</f>
      </c>
    </row>
    <row r="4" spans="1:5" ht="12.75">
      <c r="A4" s="85">
        <f>Riders!C5</f>
      </c>
      <c r="B4" s="33">
        <f>Riders!B5</f>
      </c>
      <c r="C4" s="33"/>
      <c r="D4" s="188">
        <f>Riders!O5</f>
      </c>
      <c r="E4">
        <f>IF(ISBLANK(Riders!P5),"",Riders!P5)</f>
      </c>
    </row>
    <row r="5" spans="1:5" ht="12.75">
      <c r="A5" s="85">
        <f>Riders!C6</f>
      </c>
      <c r="B5" s="33">
        <f>Riders!B6</f>
      </c>
      <c r="C5" s="33"/>
      <c r="D5" s="188">
        <f>Riders!O6</f>
      </c>
      <c r="E5">
        <f>IF(ISBLANK(Riders!P6),"",Riders!P6)</f>
      </c>
    </row>
    <row r="6" spans="1:5" ht="12.75">
      <c r="A6" s="90"/>
      <c r="B6" s="78"/>
      <c r="C6" s="78"/>
      <c r="D6" s="189"/>
      <c r="E6">
        <f>IF(ISBLANK('[1]Riders'!P8),"",'[1]Riders'!P8)</f>
      </c>
    </row>
    <row r="8" ht="12.75">
      <c r="A8" t="s">
        <v>309</v>
      </c>
    </row>
    <row r="9" ht="12.75">
      <c r="A9" t="s">
        <v>310</v>
      </c>
    </row>
    <row r="10" ht="12.75">
      <c r="A10" t="s">
        <v>311</v>
      </c>
    </row>
    <row r="11" ht="12.75">
      <c r="A11" t="s">
        <v>312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2001-08-02T20:29:14Z</cp:lastPrinted>
  <dcterms:created xsi:type="dcterms:W3CDTF">1997-11-12T04:43:39Z</dcterms:created>
  <dcterms:modified xsi:type="dcterms:W3CDTF">2001-12-27T18:05:35Z</dcterms:modified>
  <cp:category/>
  <cp:version/>
  <cp:contentType/>
  <cp:contentStatus/>
</cp:coreProperties>
</file>