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402A 070812" sheetId="4" r:id="rId4"/>
  </sheets>
  <definedNames>
    <definedName name="_xlnm.Print_Titles" localSheetId="1">'Control Sheet'!$1:$2</definedName>
    <definedName name="_xlnm.Print_Area" localSheetId="3">'VI402A 070812'!$A$1:$I$97</definedName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<sst xmlns="http://schemas.openxmlformats.org/spreadsheetml/2006/main" count="564" uniqueCount="323">
  <si>
    <t>Brevet Length:</t>
  </si>
  <si>
    <t>Maximum Time:</t>
  </si>
  <si>
    <t>Brevet Description:</t>
  </si>
  <si>
    <t>Mill Bay--Buckley Bay "Back Road" 400</t>
  </si>
  <si>
    <t>Brevet Number:</t>
  </si>
  <si>
    <t>VI400-3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</si>
  <si>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</si>
  <si>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</si>
  <si>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</si>
  <si>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</si>
  <si>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</si>
  <si>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</si>
  <si>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</si>
  <si>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</si>
  <si>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</si>
  <si>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</si>
  <si>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</si>
  <si>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</si>
  <si>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</si>
  <si>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MILL BAY</t>
  </si>
  <si>
    <t>Tim Horton's</t>
  </si>
  <si>
    <t xml:space="preserve"> Deloume @ Hwy #1</t>
  </si>
  <si>
    <t>Mill Bay</t>
  </si>
  <si>
    <t>Control 2</t>
  </si>
  <si>
    <t>CHEMAINUS</t>
  </si>
  <si>
    <t>Subway</t>
  </si>
  <si>
    <t>Chemainus @ Mill</t>
  </si>
  <si>
    <t>Chemainus</t>
  </si>
  <si>
    <t>Control 3</t>
  </si>
  <si>
    <t>SCHOONER COVE</t>
  </si>
  <si>
    <t>Dockside Café</t>
  </si>
  <si>
    <t>Nanoose Bay</t>
  </si>
  <si>
    <t>Control 4</t>
  </si>
  <si>
    <t>BUCKLEY BAY</t>
  </si>
  <si>
    <t>Petrocan/Store/</t>
  </si>
  <si>
    <t>Buckley Bay</t>
  </si>
  <si>
    <t>Control 5</t>
  </si>
  <si>
    <t>PARKSVILLE</t>
  </si>
  <si>
    <t>490 Island Hwy</t>
  </si>
  <si>
    <t>Parksville</t>
  </si>
  <si>
    <t>Control 6</t>
  </si>
  <si>
    <t>LADYSMITH</t>
  </si>
  <si>
    <t>7-11</t>
  </si>
  <si>
    <t>435 Esplanade (Hwy #1)</t>
  </si>
  <si>
    <t>Ladysmith</t>
  </si>
  <si>
    <t>Control 7</t>
  </si>
  <si>
    <t>Deloume @ Hwy #1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</si>
  <si>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</si>
  <si>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</si>
  <si>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</si>
  <si>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</si>
  <si>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</si>
  <si>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</si>
  <si>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</si>
  <si>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</si>
  <si>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</si>
  <si>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</si>
  <si>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</si>
  <si>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</si>
  <si>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</si>
  <si>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</si>
  <si>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</si>
  <si>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</si>
  <si>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</si>
  <si>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</si>
  <si>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</si>
  <si>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</si>
  <si>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</si>
  <si>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</si>
  <si>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</si>
  <si>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</si>
  <si>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</si>
  <si>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</si>
  <si>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</si>
  <si>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</si>
  <si>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</si>
  <si>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</si>
  <si>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</si>
  <si>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</si>
  <si>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</si>
  <si>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</si>
  <si>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</si>
  <si>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</si>
  <si>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</si>
  <si>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cel: (250) 893-6767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</si>
  <si>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</si>
  <si>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</si>
  <si>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</si>
  <si>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</si>
  <si>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</si>
  <si>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</si>
  <si>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</si>
  <si>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</si>
  <si>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</si>
  <si>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</si>
  <si>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Notes</t>
  </si>
  <si>
    <t>Rand Memb</t>
  </si>
  <si>
    <t>Pin</t>
  </si>
  <si>
    <t>Martin</t>
  </si>
  <si>
    <t>Lindsay</t>
  </si>
  <si>
    <t>Apt. 105 - 915 Cook Street</t>
  </si>
  <si>
    <t>Victoria</t>
  </si>
  <si>
    <t>BC</t>
  </si>
  <si>
    <t>Canada</t>
  </si>
  <si>
    <t>V8V 3Z4</t>
  </si>
  <si>
    <t>(250) 477-7482</t>
  </si>
  <si>
    <t>lindsay.martin@mac.com</t>
  </si>
  <si>
    <t>Howes</t>
  </si>
  <si>
    <t>Noel</t>
  </si>
  <si>
    <t>6229 First Ave. NW</t>
  </si>
  <si>
    <t>Seattle</t>
  </si>
  <si>
    <t>WA</t>
  </si>
  <si>
    <t>U.S.A</t>
  </si>
  <si>
    <t>(206) 783-9506</t>
  </si>
  <si>
    <t>Parker</t>
  </si>
  <si>
    <t>Raymond</t>
  </si>
  <si>
    <t>J.</t>
  </si>
  <si>
    <t>1-444 Michigan St.</t>
  </si>
  <si>
    <t>V9T 3B2</t>
  </si>
  <si>
    <t>(250) 388-5365</t>
  </si>
  <si>
    <t>randoray@shaw.ca</t>
  </si>
  <si>
    <t>Wright</t>
  </si>
  <si>
    <t>Patrick</t>
  </si>
  <si>
    <t>1453 Taunton St.</t>
  </si>
  <si>
    <t>V8R 1W8</t>
  </si>
  <si>
    <t>(250) 370-9167</t>
  </si>
  <si>
    <t>Malek</t>
  </si>
  <si>
    <t>Alard</t>
  </si>
  <si>
    <t>Koen</t>
  </si>
  <si>
    <t>Bob</t>
  </si>
  <si>
    <t>Vancouver</t>
  </si>
  <si>
    <t>Press</t>
  </si>
  <si>
    <t>Nigel</t>
  </si>
  <si>
    <t>2580 Cambridge Street</t>
  </si>
  <si>
    <t>V5K 1L4</t>
  </si>
  <si>
    <t>604-258-7486</t>
  </si>
  <si>
    <t>Bonner</t>
  </si>
  <si>
    <t>Ken</t>
  </si>
  <si>
    <t>2609 Orchard Ave.</t>
  </si>
  <si>
    <t xml:space="preserve">V8S 3B2 </t>
  </si>
  <si>
    <t>(250) 598-4135</t>
  </si>
  <si>
    <t>kenbonner@telus.net</t>
  </si>
  <si>
    <t>Galley</t>
  </si>
  <si>
    <t>Luke</t>
  </si>
  <si>
    <t>Mihalyi</t>
  </si>
  <si>
    <t>Devon</t>
  </si>
  <si>
    <t>Fishlock</t>
  </si>
  <si>
    <t>Graham</t>
  </si>
  <si>
    <t>13100 Prospect Drive</t>
  </si>
  <si>
    <t>V96 1G9</t>
  </si>
  <si>
    <t>250 245-4906</t>
  </si>
  <si>
    <t>Ford</t>
  </si>
  <si>
    <t>Mark</t>
  </si>
  <si>
    <t>1854 St. Ann Street</t>
  </si>
  <si>
    <t>V8R 5W1</t>
  </si>
  <si>
    <t>(250) 595-6790</t>
  </si>
  <si>
    <t>mford@conwayinfo.ca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</si>
  <si>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</si>
  <si>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</si>
  <si>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</si>
  <si>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</si>
  <si>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</si>
  <si>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</si>
  <si>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</si>
  <si>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</si>
  <si>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</si>
  <si>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 xml:space="preserve">START-- Tim Horton's </t>
  </si>
  <si>
    <t>R</t>
  </si>
  <si>
    <t>CHEMAINUS (continue north)</t>
  </si>
  <si>
    <t>HWY #1 @ Deloume, Mill Bay</t>
  </si>
  <si>
    <t>HWY #1 to Nanaimo (@ lights)</t>
  </si>
  <si>
    <t xml:space="preserve">TRANSFER BEACH </t>
  </si>
  <si>
    <t>South through parking lot</t>
  </si>
  <si>
    <t>L</t>
  </si>
  <si>
    <r>
      <t>OYSTER BAY (</t>
    </r>
    <r>
      <rPr>
        <sz val="12"/>
        <color indexed="10"/>
        <rFont val="Arial"/>
        <family val="2"/>
      </rPr>
      <t>bumpy!</t>
    </r>
    <r>
      <rPr>
        <sz val="12"/>
        <rFont val="Arial"/>
        <family val="2"/>
      </rPr>
      <t>)</t>
    </r>
  </si>
  <si>
    <t>Frontage road to Deloume</t>
  </si>
  <si>
    <t>LUDLOW (@ stop)</t>
  </si>
  <si>
    <t>ROUTE 1 (@ lights)</t>
  </si>
  <si>
    <t>SO</t>
  </si>
  <si>
    <t>ROCKY CREEK</t>
  </si>
  <si>
    <t>KILMALU (first right)</t>
  </si>
  <si>
    <t>Stop sign</t>
  </si>
  <si>
    <t>TELEGRAPH (first left)</t>
  </si>
  <si>
    <t>HWY #1 (on ramp) (north)</t>
  </si>
  <si>
    <t>CHERRY POINT (to Winery)</t>
  </si>
  <si>
    <t>pass Cedar Road junction on right</t>
  </si>
  <si>
    <t>BL</t>
  </si>
  <si>
    <t>CHERRY POINT (@ Fairbanks)</t>
  </si>
  <si>
    <t>NANAIMO RIVER (off ramp) (Fry Rd.)</t>
  </si>
  <si>
    <t>COWICHAN BAY (@ stop)</t>
  </si>
  <si>
    <t>CO</t>
  </si>
  <si>
    <t>NANAIMO RIVER (over RR tracks)</t>
  </si>
  <si>
    <t>TZOUHALEM (@ lawn tennis club)</t>
  </si>
  <si>
    <t>SOUTH FORK</t>
  </si>
  <si>
    <t>MAPLE BAY (@ roundabout)</t>
  </si>
  <si>
    <t>NANAIMO LAKES</t>
  </si>
  <si>
    <r>
      <t xml:space="preserve">HERD (to Crofton; </t>
    </r>
    <r>
      <rPr>
        <sz val="12"/>
        <color indexed="10"/>
        <rFont val="Arial"/>
        <family val="2"/>
      </rPr>
      <t>not down to sea</t>
    </r>
    <r>
      <rPr>
        <sz val="12"/>
        <rFont val="Arial"/>
        <family val="2"/>
      </rPr>
      <t>)</t>
    </r>
  </si>
  <si>
    <t>HAREWOOD (@ 4-way stop)</t>
  </si>
  <si>
    <t>RICHARDS (to Pastula Farms)</t>
  </si>
  <si>
    <t>BRUCE (@ stop)</t>
  </si>
  <si>
    <t>WESTHOLME (@Stop) (no sign)</t>
  </si>
  <si>
    <t>PINE (@ lights)</t>
  </si>
  <si>
    <t>CHEMAINUS (@ Mt. Sicker)</t>
  </si>
  <si>
    <t>WENTWORTH (first right)</t>
  </si>
  <si>
    <t>CHEMAINUS (@ roundabout)</t>
  </si>
  <si>
    <t>MACHLEARY (@ stop)</t>
  </si>
  <si>
    <t>WALL (@ lights)</t>
  </si>
  <si>
    <t>CONTROL #1 -- Subway</t>
  </si>
  <si>
    <t>BRADLEY (@T)</t>
  </si>
  <si>
    <t>9734 Chemainus (@ Mill)</t>
  </si>
  <si>
    <t>MILLSTONE (no choice)</t>
  </si>
  <si>
    <t>St. GEORGE (@Stop)</t>
  </si>
  <si>
    <t>Cross Terminal (Hwy 19A)</t>
  </si>
  <si>
    <t>DOLPHIN</t>
  </si>
  <si>
    <t>PRINCESS ROYAL</t>
  </si>
  <si>
    <t>DAVENHAM</t>
  </si>
  <si>
    <t>ESTEVAN (follow main road)</t>
  </si>
  <si>
    <t>STEWART (left curve)</t>
  </si>
  <si>
    <t>DEPARTURE BAY (@Stop)</t>
  </si>
  <si>
    <t>NORTHWEST BAY (@ yield)</t>
  </si>
  <si>
    <t>HAMMOND BAY (@lights)</t>
  </si>
  <si>
    <t>FRANKLIN'S GULL (no choice)</t>
  </si>
  <si>
    <t>BRICKYARD (@clinic)</t>
  </si>
  <si>
    <t>HWY 19A (into Parksville)</t>
  </si>
  <si>
    <t>WALDBANK (@ stop)</t>
  </si>
  <si>
    <r>
      <t xml:space="preserve">MARTINDALE </t>
    </r>
    <r>
      <rPr>
        <sz val="8"/>
        <rFont val="Arial"/>
        <family val="2"/>
      </rPr>
      <t>after bridge</t>
    </r>
    <r>
      <rPr>
        <sz val="10"/>
        <rFont val="Arial"/>
        <family val="2"/>
      </rPr>
      <t xml:space="preserve"> BL PIONEER CR</t>
    </r>
  </si>
  <si>
    <t>DOVER (@McGirr)</t>
  </si>
  <si>
    <t>McVICKERS N (@ QF)</t>
  </si>
  <si>
    <t>DICKINSON (@ lights)</t>
  </si>
  <si>
    <t>cross HWY 19A (@ lights)</t>
  </si>
  <si>
    <t>LANTZVILLE (@ stop)</t>
  </si>
  <si>
    <t xml:space="preserve">McVICKERS </t>
  </si>
  <si>
    <t>HWY 19 (@ yield)</t>
  </si>
  <si>
    <t>STANFORD (@ 4-way stop)</t>
  </si>
  <si>
    <t>NORTHWEST BAY (@ Petrocan)</t>
  </si>
  <si>
    <t>CORFIELD (@ 4-way stop)</t>
  </si>
  <si>
    <t>POWDER POINT (after RR tracks)</t>
  </si>
  <si>
    <t>DESPARD</t>
  </si>
  <si>
    <t>FAIRWINDS (@ 4-way stop)</t>
  </si>
  <si>
    <t>ALBERNI HWY (4A) (@ lights)</t>
  </si>
  <si>
    <t>DOLPHIN (left bend @ 2nd Andover)</t>
  </si>
  <si>
    <t>BELLVUE @ Petmania)</t>
  </si>
  <si>
    <t>RUFFELS (@ no through)</t>
  </si>
  <si>
    <t>LEFFLER (no choice)</t>
  </si>
  <si>
    <t xml:space="preserve">CONTROL #2-- </t>
  </si>
  <si>
    <t>GRAFTON (@ 4-way stop)</t>
  </si>
  <si>
    <t>(Will need to be an INFO Control)</t>
  </si>
  <si>
    <t>PRATT (@ no exit)</t>
  </si>
  <si>
    <t>ALBERNI HWY (4A) (@ stop)</t>
  </si>
  <si>
    <r>
      <t>HILLIERS</t>
    </r>
    <r>
      <rPr>
        <sz val="10"/>
        <rFont val="Arial"/>
        <family val="2"/>
      </rPr>
      <t>(just past self storage)</t>
    </r>
  </si>
  <si>
    <t>MEMORIAL (@ stop)(to Qualicum)</t>
  </si>
  <si>
    <t>ISLAND HWY (19A)(@ Stop) (North)</t>
  </si>
  <si>
    <t>VANDENOUK (@ left bend)</t>
  </si>
  <si>
    <t>HARBY (no choice)</t>
  </si>
  <si>
    <t>Control #3 -- Store/Petrocan</t>
  </si>
  <si>
    <t>PHILLIP (@ right bend)</t>
  </si>
  <si>
    <t>AULDS (@ Stop)</t>
  </si>
  <si>
    <t>AULDS (first right))</t>
  </si>
  <si>
    <t>ISLAND HWY (South) (@ lights)</t>
  </si>
  <si>
    <t>cross over Nanaimo Parkway</t>
  </si>
  <si>
    <t>AULDS</t>
  </si>
  <si>
    <t>Control #4 -- Tim Horton's</t>
  </si>
  <si>
    <t>METRAL (@ light)</t>
  </si>
  <si>
    <t>490 Island Hwy, Parksville</t>
  </si>
  <si>
    <t>DOUMONT (to Pleasant Valley)</t>
  </si>
  <si>
    <t>BIGGS (T @ Weigles)</t>
  </si>
  <si>
    <t>ISLAND HWY (19A) (South)</t>
  </si>
  <si>
    <t>JINGLE POT (@ stop)</t>
  </si>
  <si>
    <t>INDUSTRIAL WAY</t>
  </si>
  <si>
    <t>cross over HWY 19</t>
  </si>
  <si>
    <t>FRANKLIN'S GULL</t>
  </si>
  <si>
    <t>JINGLE POT</t>
  </si>
  <si>
    <t>cross Hwy 19A (@ lights)</t>
  </si>
  <si>
    <t>THIRD</t>
  </si>
  <si>
    <t>WAKESIAH @lights)</t>
  </si>
  <si>
    <t>NORTHWEST BAY</t>
  </si>
  <si>
    <t>SIXTH (no choice)</t>
  </si>
  <si>
    <t>ISLAND HWY (19A) (South @ lights)</t>
  </si>
  <si>
    <t>CAPILANO (@ Pedestrian overpass)</t>
  </si>
  <si>
    <t>TENTH</t>
  </si>
  <si>
    <t>top hill -- over RR tracks -- left bend</t>
  </si>
  <si>
    <t>TRANSCANADA (@ lights)</t>
  </si>
  <si>
    <t>WESTWIND (right bend - no choice)</t>
  </si>
  <si>
    <r>
      <t>cross 2 lanes (</t>
    </r>
    <r>
      <rPr>
        <sz val="12"/>
        <color indexed="10"/>
        <rFont val="Arial"/>
        <family val="2"/>
      </rPr>
      <t>CAUTION!</t>
    </r>
    <r>
      <rPr>
        <sz val="12"/>
        <rFont val="Arial"/>
        <family val="2"/>
      </rPr>
      <t>)</t>
    </r>
  </si>
  <si>
    <t>NORTHWIND (@ Stop)</t>
  </si>
  <si>
    <t>CEDAR (@ lights)</t>
  </si>
  <si>
    <t>SUPERIOR (@ T) (hidden sign)</t>
  </si>
  <si>
    <t>HARMAC (after bridge)</t>
  </si>
  <si>
    <t>MACMILLAN (@ 3-way stop)</t>
  </si>
  <si>
    <t xml:space="preserve">CRAIG(@lights) becomes ALLENBY </t>
  </si>
  <si>
    <t>HOLDEN-CORSO (@ Esso)</t>
  </si>
  <si>
    <t>ALLENBY (@ 4-way) (after bridge)</t>
  </si>
  <si>
    <t>WOOBANK (@ Powder Coaters)</t>
  </si>
  <si>
    <t>KOKSILAH (first right)</t>
  </si>
  <si>
    <t>CEDAR (pass Yellow Point on left)</t>
  </si>
  <si>
    <r>
      <t>COWICHAN Stn.</t>
    </r>
    <r>
      <rPr>
        <sz val="9"/>
        <rFont val="Arial"/>
        <family val="2"/>
      </rPr>
      <t>after RR bridge underpass</t>
    </r>
  </si>
  <si>
    <t>QUENNELL (@ Cedar Hall)</t>
  </si>
  <si>
    <t>KOKSILAH (no sign) (@ Stop)</t>
  </si>
  <si>
    <t>YELLOW POINT (@ stop)</t>
  </si>
  <si>
    <t xml:space="preserve">R </t>
  </si>
  <si>
    <t>LAKESIDE</t>
  </si>
  <si>
    <t>CEDAR (@ Gas N Go/Chuckwagon)</t>
  </si>
  <si>
    <t>cross Hillbank (@ 4-way stop)</t>
  </si>
  <si>
    <t>TRANS CANADA (@ lights)</t>
  </si>
  <si>
    <t>to Hwy #1 (@ stop)</t>
  </si>
  <si>
    <t>Control # 5 -- 7-11</t>
  </si>
  <si>
    <t>TRANS-CANADA (Hwy #1) (@ lights)</t>
  </si>
  <si>
    <t>COBBLE HILL (@ lights)</t>
  </si>
  <si>
    <t>SHAWNIGAN LAKE (@ school)</t>
  </si>
  <si>
    <t>CAMERON-TAGGART (to winery)</t>
  </si>
  <si>
    <t>TRANS CANADA (Hwy #1)</t>
  </si>
  <si>
    <t>SHAWNIGAN-MILL BAY (@ Stop)</t>
  </si>
  <si>
    <t>CHEMAINUS (@ light)</t>
  </si>
  <si>
    <t>HWY #1 (@ lights)</t>
  </si>
  <si>
    <t>DELOUME</t>
  </si>
  <si>
    <t>BR</t>
  </si>
  <si>
    <t>Mt. SICKER</t>
  </si>
  <si>
    <r>
      <t xml:space="preserve">TRANS CANADA </t>
    </r>
    <r>
      <rPr>
        <sz val="11"/>
        <rFont val="Arial"/>
        <family val="2"/>
      </rPr>
      <t>(@ light @Gas Stn</t>
    </r>
    <r>
      <rPr>
        <sz val="12"/>
        <rFont val="Arial"/>
        <family val="2"/>
      </rPr>
      <t>)</t>
    </r>
  </si>
  <si>
    <t>FINISH -- Tim Horton's -- Mill Bay</t>
  </si>
  <si>
    <r>
      <t xml:space="preserve">EXIT "DUNCAN" </t>
    </r>
    <r>
      <rPr>
        <sz val="10"/>
        <rFont val="Arial"/>
        <family val="2"/>
      </rPr>
      <t>(just past GM dealer</t>
    </r>
    <r>
      <rPr>
        <sz val="12"/>
        <rFont val="Arial"/>
        <family val="2"/>
      </rPr>
      <t>)</t>
    </r>
  </si>
  <si>
    <t>!!! CONGRATULATIONS !!!</t>
  </si>
  <si>
    <t>ROUNDABOUT TO CANADA AVE</t>
  </si>
  <si>
    <t>GOVERNMENT(RR tracks on left)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</si>
</sst>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37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4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9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50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18" borderId="10" xfId="0" applyFont="1" applyFill="1" applyBorder="1" applyAlignment="1">
      <alignment horizontal="right"/>
    </xf>
    <xf numFmtId="164" fontId="0" fillId="0" borderId="11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18" borderId="12" xfId="0" applyFont="1" applyFill="1" applyBorder="1" applyAlignment="1">
      <alignment horizontal="right"/>
    </xf>
    <xf numFmtId="164" fontId="0" fillId="18" borderId="13" xfId="0" applyFill="1" applyBorder="1" applyAlignment="1">
      <alignment/>
    </xf>
    <xf numFmtId="164" fontId="0" fillId="0" borderId="14" xfId="0" applyFont="1" applyBorder="1" applyAlignment="1" applyProtection="1">
      <alignment horizontal="center"/>
      <protection locked="0"/>
    </xf>
    <xf numFmtId="166" fontId="0" fillId="0" borderId="13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13" xfId="0" applyNumberFormat="1" applyBorder="1" applyAlignment="1" applyProtection="1">
      <alignment/>
      <protection locked="0"/>
    </xf>
    <xf numFmtId="164" fontId="0" fillId="18" borderId="15" xfId="0" applyFont="1" applyFill="1" applyBorder="1" applyAlignment="1">
      <alignment horizontal="right"/>
    </xf>
    <xf numFmtId="168" fontId="0" fillId="0" borderId="16" xfId="0" applyNumberFormat="1" applyBorder="1" applyAlignment="1" applyProtection="1">
      <alignment/>
      <protection locked="0"/>
    </xf>
    <xf numFmtId="164" fontId="0" fillId="18" borderId="14" xfId="0" applyFont="1" applyFill="1" applyBorder="1" applyAlignment="1">
      <alignment horizontal="center"/>
    </xf>
    <xf numFmtId="164" fontId="0" fillId="18" borderId="0" xfId="0" applyFill="1" applyAlignment="1">
      <alignment/>
    </xf>
    <xf numFmtId="164" fontId="0" fillId="18" borderId="17" xfId="0" applyFont="1" applyFill="1" applyBorder="1" applyAlignment="1">
      <alignment/>
    </xf>
    <xf numFmtId="164" fontId="0" fillId="18" borderId="18" xfId="0" applyFont="1" applyFill="1" applyBorder="1" applyAlignment="1">
      <alignment/>
    </xf>
    <xf numFmtId="164" fontId="0" fillId="18" borderId="19" xfId="0" applyFont="1" applyFill="1" applyBorder="1" applyAlignment="1">
      <alignment/>
    </xf>
    <xf numFmtId="169" fontId="0" fillId="0" borderId="20" xfId="0" applyNumberFormat="1" applyBorder="1" applyAlignment="1" applyProtection="1">
      <alignment/>
      <protection locked="0"/>
    </xf>
    <xf numFmtId="164" fontId="0" fillId="0" borderId="21" xfId="0" applyFont="1" applyBorder="1" applyAlignment="1" applyProtection="1">
      <alignment/>
      <protection locked="0"/>
    </xf>
    <xf numFmtId="166" fontId="0" fillId="0" borderId="21" xfId="0" applyNumberFormat="1" applyFont="1" applyBorder="1" applyAlignment="1" applyProtection="1">
      <alignment horizontal="center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22" xfId="0" applyNumberFormat="1" applyBorder="1" applyAlignment="1" applyProtection="1">
      <alignment/>
      <protection locked="0"/>
    </xf>
    <xf numFmtId="164" fontId="0" fillId="0" borderId="23" xfId="0" applyBorder="1" applyAlignment="1" applyProtection="1">
      <alignment/>
      <protection locked="0"/>
    </xf>
    <xf numFmtId="166" fontId="0" fillId="0" borderId="23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164" fontId="0" fillId="0" borderId="24" xfId="0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Border="1" applyAlignment="1">
      <alignment horizontal="center" vertical="center"/>
    </xf>
    <xf numFmtId="164" fontId="19" fillId="18" borderId="14" xfId="0" applyFont="1" applyFill="1" applyBorder="1" applyAlignment="1">
      <alignment horizontal="center" wrapText="1"/>
    </xf>
    <xf numFmtId="164" fontId="19" fillId="18" borderId="14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20" fillId="0" borderId="24" xfId="0" applyNumberFormat="1" applyFont="1" applyBorder="1" applyAlignment="1">
      <alignment horizontal="center" wrapText="1"/>
    </xf>
    <xf numFmtId="171" fontId="20" fillId="0" borderId="24" xfId="0" applyNumberFormat="1" applyFont="1" applyBorder="1" applyAlignment="1">
      <alignment horizontal="center" vertical="center" wrapText="1"/>
    </xf>
    <xf numFmtId="164" fontId="20" fillId="0" borderId="25" xfId="0" applyFont="1" applyBorder="1" applyAlignment="1">
      <alignment horizontal="center" vertical="center"/>
    </xf>
    <xf numFmtId="164" fontId="21" fillId="0" borderId="24" xfId="0" applyFont="1" applyBorder="1" applyAlignment="1">
      <alignment horizontal="center" vertical="center" wrapText="1"/>
    </xf>
    <xf numFmtId="164" fontId="19" fillId="0" borderId="25" xfId="0" applyFont="1" applyBorder="1" applyAlignment="1">
      <alignment horizontal="center"/>
    </xf>
    <xf numFmtId="164" fontId="19" fillId="0" borderId="24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21" fillId="0" borderId="24" xfId="0" applyNumberFormat="1" applyFont="1" applyBorder="1" applyAlignment="1">
      <alignment horizontal="center" vertical="center"/>
    </xf>
    <xf numFmtId="172" fontId="21" fillId="0" borderId="24" xfId="0" applyNumberFormat="1" applyFont="1" applyBorder="1" applyAlignment="1">
      <alignment horizontal="center" vertical="center" wrapText="1"/>
    </xf>
    <xf numFmtId="169" fontId="20" fillId="0" borderId="15" xfId="0" applyNumberFormat="1" applyFont="1" applyBorder="1" applyAlignment="1">
      <alignment/>
    </xf>
    <xf numFmtId="173" fontId="20" fillId="0" borderId="15" xfId="0" applyNumberFormat="1" applyFont="1" applyBorder="1" applyAlignment="1">
      <alignment horizontal="center" vertical="center" wrapText="1"/>
    </xf>
    <xf numFmtId="164" fontId="20" fillId="0" borderId="26" xfId="0" applyFont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 wrapText="1"/>
    </xf>
    <xf numFmtId="164" fontId="19" fillId="0" borderId="16" xfId="0" applyFont="1" applyBorder="1" applyAlignment="1">
      <alignment/>
    </xf>
    <xf numFmtId="164" fontId="19" fillId="0" borderId="15" xfId="0" applyFont="1" applyBorder="1" applyAlignment="1">
      <alignment/>
    </xf>
    <xf numFmtId="164" fontId="20" fillId="0" borderId="24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top" wrapText="1"/>
    </xf>
    <xf numFmtId="164" fontId="18" fillId="0" borderId="0" xfId="0" applyFont="1" applyAlignment="1">
      <alignment horizontal="center" vertical="top" wrapText="1"/>
    </xf>
    <xf numFmtId="164" fontId="23" fillId="0" borderId="0" xfId="0" applyFont="1" applyAlignment="1">
      <alignment/>
    </xf>
    <xf numFmtId="164" fontId="25" fillId="0" borderId="26" xfId="0" applyFont="1" applyBorder="1" applyAlignment="1" applyProtection="1">
      <alignment/>
      <protection/>
    </xf>
    <xf numFmtId="164" fontId="23" fillId="0" borderId="26" xfId="0" applyFont="1" applyBorder="1" applyAlignment="1" applyProtection="1">
      <alignment horizontal="center"/>
      <protection/>
    </xf>
    <xf numFmtId="164" fontId="23" fillId="0" borderId="26" xfId="0" applyFont="1" applyBorder="1" applyAlignment="1" applyProtection="1">
      <alignment horizontal="center"/>
      <protection locked="0"/>
    </xf>
    <xf numFmtId="164" fontId="25" fillId="0" borderId="26" xfId="0" applyFont="1" applyBorder="1" applyAlignment="1" applyProtection="1">
      <alignment/>
      <protection/>
    </xf>
    <xf numFmtId="164" fontId="23" fillId="0" borderId="26" xfId="0" applyFont="1" applyBorder="1" applyAlignment="1" applyProtection="1">
      <alignment/>
      <protection/>
    </xf>
    <xf numFmtId="164" fontId="23" fillId="0" borderId="26" xfId="0" applyFont="1" applyBorder="1" applyAlignment="1" applyProtection="1">
      <alignment/>
      <protection locked="0"/>
    </xf>
    <xf numFmtId="164" fontId="23" fillId="0" borderId="0" xfId="0" applyFont="1" applyAlignment="1" applyProtection="1">
      <alignment/>
      <protection/>
    </xf>
    <xf numFmtId="164" fontId="25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26" fillId="0" borderId="26" xfId="0" applyNumberFormat="1" applyFont="1" applyBorder="1" applyAlignment="1" applyProtection="1">
      <alignment horizontal="center"/>
      <protection/>
    </xf>
    <xf numFmtId="174" fontId="23" fillId="0" borderId="26" xfId="0" applyNumberFormat="1" applyFont="1" applyBorder="1" applyAlignment="1" applyProtection="1">
      <alignment horizontal="center"/>
      <protection/>
    </xf>
    <xf numFmtId="164" fontId="26" fillId="0" borderId="26" xfId="0" applyFont="1" applyBorder="1" applyAlignment="1" applyProtection="1">
      <alignment/>
      <protection/>
    </xf>
    <xf numFmtId="164" fontId="0" fillId="0" borderId="26" xfId="0" applyBorder="1" applyAlignment="1" applyProtection="1">
      <alignment/>
      <protection/>
    </xf>
    <xf numFmtId="164" fontId="0" fillId="0" borderId="26" xfId="0" applyBorder="1" applyAlignment="1" applyProtection="1">
      <alignment/>
      <protection locked="0"/>
    </xf>
    <xf numFmtId="164" fontId="19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wrapText="1"/>
    </xf>
    <xf numFmtId="175" fontId="23" fillId="0" borderId="26" xfId="0" applyNumberFormat="1" applyFont="1" applyBorder="1" applyAlignment="1">
      <alignment horizontal="center"/>
    </xf>
    <xf numFmtId="164" fontId="0" fillId="0" borderId="26" xfId="0" applyBorder="1" applyAlignment="1">
      <alignment/>
    </xf>
    <xf numFmtId="164" fontId="27" fillId="0" borderId="0" xfId="0" applyFont="1" applyBorder="1" applyAlignment="1">
      <alignment horizontal="center" vertical="top"/>
    </xf>
    <xf numFmtId="164" fontId="27" fillId="0" borderId="0" xfId="0" applyFont="1" applyBorder="1" applyAlignment="1" applyProtection="1">
      <alignment horizontal="center" wrapText="1"/>
      <protection/>
    </xf>
    <xf numFmtId="164" fontId="0" fillId="0" borderId="27" xfId="0" applyBorder="1" applyAlignment="1">
      <alignment/>
    </xf>
    <xf numFmtId="164" fontId="0" fillId="0" borderId="28" xfId="0" applyBorder="1" applyAlignment="1" applyProtection="1">
      <alignment/>
      <protection/>
    </xf>
    <xf numFmtId="164" fontId="0" fillId="0" borderId="29" xfId="0" applyBorder="1" applyAlignment="1" applyProtection="1">
      <alignment/>
      <protection/>
    </xf>
    <xf numFmtId="164" fontId="0" fillId="0" borderId="27" xfId="0" applyBorder="1" applyAlignment="1" applyProtection="1">
      <alignment/>
      <protection/>
    </xf>
    <xf numFmtId="164" fontId="0" fillId="0" borderId="30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25" xfId="0" applyBorder="1" applyAlignment="1" applyProtection="1">
      <alignment/>
      <protection/>
    </xf>
    <xf numFmtId="164" fontId="0" fillId="0" borderId="30" xfId="0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31" xfId="0" applyBorder="1" applyAlignment="1">
      <alignment/>
    </xf>
    <xf numFmtId="164" fontId="0" fillId="0" borderId="16" xfId="0" applyBorder="1" applyAlignment="1" applyProtection="1">
      <alignment/>
      <protection/>
    </xf>
    <xf numFmtId="164" fontId="0" fillId="0" borderId="31" xfId="0" applyBorder="1" applyAlignment="1" applyProtection="1">
      <alignment/>
      <protection/>
    </xf>
    <xf numFmtId="164" fontId="19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28" fillId="18" borderId="14" xfId="0" applyFont="1" applyFill="1" applyBorder="1" applyAlignment="1">
      <alignment/>
    </xf>
    <xf numFmtId="164" fontId="28" fillId="18" borderId="14" xfId="0" applyFont="1" applyFill="1" applyBorder="1" applyAlignment="1">
      <alignment wrapText="1"/>
    </xf>
    <xf numFmtId="174" fontId="28" fillId="18" borderId="14" xfId="0" applyNumberFormat="1" applyFont="1" applyFill="1" applyBorder="1" applyAlignment="1">
      <alignment/>
    </xf>
    <xf numFmtId="174" fontId="28" fillId="18" borderId="14" xfId="0" applyNumberFormat="1" applyFont="1" applyFill="1" applyBorder="1" applyAlignment="1">
      <alignment horizontal="center"/>
    </xf>
    <xf numFmtId="164" fontId="28" fillId="18" borderId="14" xfId="0" applyFont="1" applyFill="1" applyBorder="1" applyAlignment="1">
      <alignment horizontal="center"/>
    </xf>
    <xf numFmtId="164" fontId="28" fillId="18" borderId="14" xfId="0" applyFont="1" applyFill="1" applyBorder="1" applyAlignment="1">
      <alignment horizontal="center" wrapText="1"/>
    </xf>
    <xf numFmtId="164" fontId="0" fillId="19" borderId="12" xfId="0" applyFont="1" applyFill="1" applyBorder="1" applyAlignment="1">
      <alignment/>
    </xf>
    <xf numFmtId="164" fontId="0" fillId="19" borderId="12" xfId="0" applyFont="1" applyFill="1" applyBorder="1" applyAlignment="1" applyProtection="1">
      <alignment wrapText="1"/>
      <protection locked="0"/>
    </xf>
    <xf numFmtId="164" fontId="28" fillId="19" borderId="12" xfId="0" applyFont="1" applyFill="1" applyBorder="1" applyAlignment="1">
      <alignment/>
    </xf>
    <xf numFmtId="174" fontId="0" fillId="19" borderId="12" xfId="0" applyNumberFormat="1" applyFont="1" applyFill="1" applyBorder="1" applyAlignment="1" applyProtection="1">
      <alignment/>
      <protection locked="0"/>
    </xf>
    <xf numFmtId="164" fontId="29" fillId="19" borderId="12" xfId="20" applyNumberFormat="1" applyFont="1" applyFill="1" applyBorder="1" applyAlignment="1" applyProtection="1">
      <alignment/>
      <protection/>
    </xf>
    <xf numFmtId="164" fontId="0" fillId="19" borderId="12" xfId="0" applyFont="1" applyFill="1" applyBorder="1" applyAlignment="1">
      <alignment horizontal="center"/>
    </xf>
    <xf numFmtId="164" fontId="0" fillId="19" borderId="10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4" fontId="0" fillId="0" borderId="12" xfId="0" applyFont="1" applyBorder="1" applyAlignment="1">
      <alignment/>
    </xf>
    <xf numFmtId="174" fontId="0" fillId="0" borderId="0" xfId="0" applyNumberFormat="1" applyFont="1" applyAlignment="1" applyProtection="1">
      <alignment/>
      <protection locked="0"/>
    </xf>
    <xf numFmtId="174" fontId="0" fillId="0" borderId="12" xfId="0" applyNumberFormat="1" applyFont="1" applyBorder="1" applyAlignment="1" applyProtection="1">
      <alignment/>
      <protection locked="0"/>
    </xf>
    <xf numFmtId="164" fontId="29" fillId="0" borderId="12" xfId="20" applyNumberFormat="1" applyFill="1" applyBorder="1" applyAlignment="1" applyProtection="1">
      <alignment/>
      <protection locked="0"/>
    </xf>
    <xf numFmtId="164" fontId="0" fillId="0" borderId="12" xfId="0" applyBorder="1" applyAlignment="1" applyProtection="1">
      <alignment horizontal="center"/>
      <protection locked="0"/>
    </xf>
    <xf numFmtId="164" fontId="0" fillId="0" borderId="12" xfId="0" applyFont="1" applyBorder="1" applyAlignment="1" applyProtection="1">
      <alignment horizontal="center"/>
      <protection locked="0"/>
    </xf>
    <xf numFmtId="164" fontId="0" fillId="0" borderId="32" xfId="0" applyFont="1" applyBorder="1" applyAlignment="1" applyProtection="1">
      <alignment/>
      <protection locked="0"/>
    </xf>
    <xf numFmtId="174" fontId="0" fillId="0" borderId="32" xfId="0" applyNumberFormat="1" applyFont="1" applyBorder="1" applyAlignment="1" applyProtection="1">
      <alignment/>
      <protection locked="0"/>
    </xf>
    <xf numFmtId="164" fontId="0" fillId="0" borderId="32" xfId="0" applyFont="1" applyBorder="1" applyAlignment="1">
      <alignment/>
    </xf>
    <xf numFmtId="164" fontId="0" fillId="0" borderId="32" xfId="0" applyBorder="1" applyAlignment="1" applyProtection="1">
      <alignment/>
      <protection locked="0"/>
    </xf>
    <xf numFmtId="174" fontId="0" fillId="0" borderId="12" xfId="0" applyNumberFormat="1" applyFont="1" applyFill="1" applyBorder="1" applyAlignment="1" applyProtection="1">
      <alignment/>
      <protection locked="0"/>
    </xf>
    <xf numFmtId="164" fontId="0" fillId="0" borderId="12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33" xfId="0" applyNumberFormat="1" applyBorder="1" applyAlignment="1">
      <alignment horizontal="right"/>
    </xf>
    <xf numFmtId="166" fontId="0" fillId="0" borderId="33" xfId="0" applyNumberFormat="1" applyBorder="1" applyAlignment="1">
      <alignment horizontal="center"/>
    </xf>
    <xf numFmtId="166" fontId="0" fillId="0" borderId="33" xfId="0" applyNumberFormat="1" applyBorder="1" applyAlignment="1">
      <alignment horizontal="left"/>
    </xf>
    <xf numFmtId="164" fontId="0" fillId="0" borderId="33" xfId="0" applyBorder="1" applyAlignment="1">
      <alignment/>
    </xf>
    <xf numFmtId="169" fontId="0" fillId="19" borderId="33" xfId="0" applyNumberFormat="1" applyFont="1" applyFill="1" applyBorder="1" applyAlignment="1">
      <alignment horizontal="right" textRotation="90" wrapText="1"/>
    </xf>
    <xf numFmtId="166" fontId="0" fillId="19" borderId="33" xfId="0" applyNumberFormat="1" applyFont="1" applyFill="1" applyBorder="1" applyAlignment="1">
      <alignment horizontal="center" textRotation="90"/>
    </xf>
    <xf numFmtId="166" fontId="0" fillId="19" borderId="33" xfId="0" applyNumberFormat="1" applyFont="1" applyFill="1" applyBorder="1" applyAlignment="1">
      <alignment horizontal="center" wrapText="1"/>
    </xf>
    <xf numFmtId="169" fontId="0" fillId="19" borderId="33" xfId="0" applyNumberFormat="1" applyFont="1" applyFill="1" applyBorder="1" applyAlignment="1">
      <alignment horizontal="center" textRotation="90" wrapText="1"/>
    </xf>
    <xf numFmtId="169" fontId="30" fillId="0" borderId="33" xfId="0" applyNumberFormat="1" applyFont="1" applyBorder="1" applyAlignment="1">
      <alignment horizontal="right"/>
    </xf>
    <xf numFmtId="166" fontId="30" fillId="0" borderId="33" xfId="0" applyNumberFormat="1" applyFont="1" applyBorder="1" applyAlignment="1">
      <alignment horizontal="center"/>
    </xf>
    <xf numFmtId="164" fontId="27" fillId="0" borderId="33" xfId="0" applyFont="1" applyBorder="1" applyAlignment="1">
      <alignment/>
    </xf>
    <xf numFmtId="169" fontId="27" fillId="0" borderId="33" xfId="0" applyNumberFormat="1" applyFont="1" applyBorder="1" applyAlignment="1">
      <alignment horizontal="right"/>
    </xf>
    <xf numFmtId="166" fontId="27" fillId="0" borderId="33" xfId="0" applyNumberFormat="1" applyFont="1" applyBorder="1" applyAlignment="1">
      <alignment horizontal="center"/>
    </xf>
    <xf numFmtId="166" fontId="27" fillId="0" borderId="33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169" fontId="0" fillId="0" borderId="0" xfId="0" applyNumberFormat="1" applyBorder="1" applyAlignment="1">
      <alignment horizontal="right"/>
    </xf>
    <xf numFmtId="169" fontId="27" fillId="19" borderId="33" xfId="0" applyNumberFormat="1" applyFont="1" applyFill="1" applyBorder="1" applyAlignment="1">
      <alignment horizontal="right" textRotation="90" wrapText="1"/>
    </xf>
    <xf numFmtId="166" fontId="27" fillId="19" borderId="33" xfId="0" applyNumberFormat="1" applyFont="1" applyFill="1" applyBorder="1" applyAlignment="1">
      <alignment horizontal="center" textRotation="90"/>
    </xf>
    <xf numFmtId="166" fontId="27" fillId="19" borderId="33" xfId="0" applyNumberFormat="1" applyFont="1" applyFill="1" applyBorder="1" applyAlignment="1">
      <alignment horizontal="center" wrapText="1"/>
    </xf>
    <xf numFmtId="169" fontId="27" fillId="19" borderId="33" xfId="0" applyNumberFormat="1" applyFont="1" applyFill="1" applyBorder="1" applyAlignment="1">
      <alignment horizontal="center" textRotation="90" wrapText="1"/>
    </xf>
    <xf numFmtId="166" fontId="27" fillId="0" borderId="33" xfId="0" applyNumberFormat="1" applyFont="1" applyBorder="1" applyAlignment="1" applyProtection="1">
      <alignment horizontal="center"/>
      <protection locked="0"/>
    </xf>
    <xf numFmtId="166" fontId="27" fillId="0" borderId="33" xfId="0" applyNumberFormat="1" applyFont="1" applyBorder="1" applyAlignment="1" applyProtection="1">
      <alignment horizontal="left"/>
      <protection locked="0"/>
    </xf>
    <xf numFmtId="169" fontId="27" fillId="0" borderId="33" xfId="0" applyNumberFormat="1" applyFont="1" applyBorder="1" applyAlignment="1" applyProtection="1">
      <alignment horizontal="right"/>
      <protection locked="0"/>
    </xf>
    <xf numFmtId="164" fontId="0" fillId="0" borderId="34" xfId="0" applyBorder="1" applyAlignment="1">
      <alignment/>
    </xf>
    <xf numFmtId="164" fontId="28" fillId="0" borderId="0" xfId="0" applyFont="1" applyAlignment="1">
      <alignment/>
    </xf>
    <xf numFmtId="166" fontId="30" fillId="0" borderId="33" xfId="0" applyNumberFormat="1" applyFont="1" applyBorder="1" applyAlignment="1" applyProtection="1">
      <alignment horizontal="center"/>
      <protection locked="0"/>
    </xf>
    <xf numFmtId="164" fontId="30" fillId="0" borderId="33" xfId="0" applyFont="1" applyBorder="1" applyAlignment="1" applyProtection="1">
      <alignment horizontal="center"/>
      <protection locked="0"/>
    </xf>
    <xf numFmtId="169" fontId="27" fillId="0" borderId="33" xfId="0" applyNumberFormat="1" applyFont="1" applyBorder="1" applyAlignment="1">
      <alignment/>
    </xf>
    <xf numFmtId="166" fontId="35" fillId="0" borderId="33" xfId="0" applyNumberFormat="1" applyFont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1</xdr:row>
      <xdr:rowOff>85725</xdr:rowOff>
    </xdr:from>
    <xdr:to>
      <xdr:col>15</xdr:col>
      <xdr:colOff>657225</xdr:colOff>
      <xdr:row>6</xdr:row>
      <xdr:rowOff>371475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333375"/>
          <a:ext cx="2543175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76200</xdr:colOff>
      <xdr:row>9</xdr:row>
      <xdr:rowOff>228600</xdr:rowOff>
    </xdr:from>
    <xdr:to>
      <xdr:col>15</xdr:col>
      <xdr:colOff>200025</xdr:colOff>
      <xdr:row>10</xdr:row>
      <xdr:rowOff>247650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44575" y="4105275"/>
          <a:ext cx="1647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ndoray@shaw.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B1">
      <selection activeCell="B6" sqref="B6"/>
    </sheetView>
  </sheetViews>
  <sheetFormatPr defaultColWidth="11.421875" defaultRowHeight="12.75"/>
  <cols>
    <col min="1" max="1" width="16.421875" style="1" customWidth="1"/>
    <col min="2" max="2" width="9.0039062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400</v>
      </c>
      <c r="C1" s="5">
        <f>IF(Brevet_Length&gt;=1200,Brevet_Length,IF(Brevet_Length&gt;=1000,1000,IF(Brevet_Length&gt;=600,600,IF(Brevet_Length&gt;=400,400,IF(Brevet_Length&gt;=300,300,IF(Brevet_Length&gt;=200,200,100))))))</f>
        <v>400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27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>
        <v>40740</v>
      </c>
    </row>
    <row r="6" spans="1:2" ht="12.75">
      <c r="A6" s="13" t="s">
        <v>7</v>
      </c>
      <c r="B6" s="14">
        <v>0.25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40740.25</v>
      </c>
      <c r="J10" s="24">
        <f>I10+"1:00"</f>
        <v>40740.291666666664</v>
      </c>
      <c r="K10" s="25">
        <f>IF(ISBLANK(Distance),"",Open Control_1)</f>
        <v>40740.25</v>
      </c>
      <c r="L10" s="25">
        <f>IF(ISBLANK(Distance),"",Close Control_1)</f>
        <v>40740.291666666664</v>
      </c>
    </row>
    <row r="11" spans="3:12" ht="12.75">
      <c r="C11" s="2" t="s">
        <v>23</v>
      </c>
      <c r="D11" s="20">
        <f>'VI402A 070812'!A21</f>
        <v>51.199999999999996</v>
      </c>
      <c r="E11" s="21" t="s">
        <v>24</v>
      </c>
      <c r="F11" s="22" t="s">
        <v>25</v>
      </c>
      <c r="G11" s="22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1.5058823529411764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3.413333333333333</v>
      </c>
      <c r="K11" s="25">
        <f>IF(ISBLANK(Distance),"",Open_time Control_1+(INT(Open)&amp;":"&amp;IF(ROUND(((Open-INT(Open))*60),0)&lt;10,0,"")&amp;ROUND(((Open-INT(Open))*60),0)))</f>
        <v>40740.3125</v>
      </c>
      <c r="L11" s="25">
        <f>IF(ISBLANK(Distance),"",Open_time Control_1+(INT(Close)&amp;":"&amp;IF(ROUND(((Close-INT(Close))*60),0)&lt;10,0,"")&amp;ROUND(((Close-INT(Close))*60),0)))</f>
        <v>40740.39236111111</v>
      </c>
    </row>
    <row r="12" spans="3:12" ht="12.75">
      <c r="C12" s="2" t="s">
        <v>28</v>
      </c>
      <c r="D12" s="20">
        <f>'VI402A 070812'!A43</f>
        <v>134.79999999999998</v>
      </c>
      <c r="E12" s="21" t="s">
        <v>29</v>
      </c>
      <c r="F12" s="22" t="s">
        <v>30</v>
      </c>
      <c r="G12" s="22" t="s">
        <v>31</v>
      </c>
      <c r="H12" s="23"/>
      <c r="I12" s="5">
        <f>IF(ISBLANK(Distance),"",IF(Distance&gt;1000,(Distance-1000)/26+33.0847,(IF(Distance&gt;600,(Distance-600)/28+18.799,(IF(Distance&gt;400,(Distance-400)/30+12.1324,(IF(Distance&gt;200,(Distance-200)/32+5.8824,Distance/34))))))))</f>
        <v>3.964705882352941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8.986666666666666</v>
      </c>
      <c r="K12" s="25">
        <f>IF(ISBLANK(Distance),"",Open_time Control_1+(INT(Open)&amp;":"&amp;IF(ROUND(((Open-INT(Open))*60),0)&lt;10,0,"")&amp;ROUND(((Open-INT(Open))*60),0)))</f>
        <v>40740.41527777778</v>
      </c>
      <c r="L12" s="25">
        <f>IF(ISBLANK(Distance),"",Open_time Control_1+(INT(Close)&amp;":"&amp;IF(ROUND(((Close-INT(Close))*60),0)&lt;10,0,"")&amp;ROUND(((Close-INT(Close))*60),0)))</f>
        <v>40740.62430555555</v>
      </c>
    </row>
    <row r="13" spans="3:12" ht="12.75">
      <c r="C13" s="2" t="s">
        <v>32</v>
      </c>
      <c r="D13" s="20">
        <f>'VI402A 070812'!A52</f>
        <v>217.59999999999997</v>
      </c>
      <c r="E13" s="21" t="s">
        <v>33</v>
      </c>
      <c r="F13" s="22" t="s">
        <v>34</v>
      </c>
      <c r="G13" s="22" t="s">
        <v>25</v>
      </c>
      <c r="H13" s="23" t="s">
        <v>35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6.432399999999999</v>
      </c>
      <c r="J13" s="5">
        <f t="shared" si="0"/>
        <v>14.506666666666664</v>
      </c>
      <c r="K13" s="25">
        <f>IF(ISBLANK(Distance),"",Open_time Control_1+(INT(Open)&amp;":"&amp;IF(ROUND(((Open-INT(Open))*60),0)&lt;10,0,"")&amp;ROUND(((Open-INT(Open))*60),0)))</f>
        <v>40740.518055555556</v>
      </c>
      <c r="L13" s="25">
        <f>IF(ISBLANK(Distance),"",Open_time Control_1+(INT(Close)&amp;":"&amp;IF(ROUND(((Close-INT(Close))*60),0)&lt;10,0,"")&amp;ROUND(((Close-INT(Close))*60),0)))</f>
        <v>40740.854166666664</v>
      </c>
    </row>
    <row r="14" spans="3:12" ht="12.75">
      <c r="C14" s="2" t="s">
        <v>36</v>
      </c>
      <c r="D14" s="20">
        <f>'VI402A 070812'!A57</f>
        <v>269.69999999999993</v>
      </c>
      <c r="E14" s="21" t="s">
        <v>37</v>
      </c>
      <c r="F14" s="22" t="s">
        <v>20</v>
      </c>
      <c r="G14" s="22" t="s">
        <v>38</v>
      </c>
      <c r="H14" s="23" t="s">
        <v>39</v>
      </c>
      <c r="I14" s="5">
        <f t="shared" si="1"/>
        <v>8.060524999999998</v>
      </c>
      <c r="J14" s="5">
        <f t="shared" si="0"/>
        <v>17.979999999999997</v>
      </c>
      <c r="K14" s="25">
        <f>IF(ISBLANK(Distance),"",Open_time Control_1+(INT(Open)&amp;":"&amp;IF(ROUND(((Open-INT(Open))*60),0)&lt;10,0,"")&amp;ROUND(((Open-INT(Open))*60),0)))</f>
        <v>40740.58611111111</v>
      </c>
      <c r="L14" s="25">
        <f>IF(ISBLANK(Distance),"",Open_time Control_1+(INT(Close)&amp;":"&amp;IF(ROUND(((Close-INT(Close))*60),0)&lt;10,0,"")&amp;ROUND(((Close-INT(Close))*60),0)))</f>
        <v>40740.99930555555</v>
      </c>
    </row>
    <row r="15" spans="3:12" ht="12.75">
      <c r="C15" s="2" t="s">
        <v>40</v>
      </c>
      <c r="D15" s="20">
        <f>'VI402A 070812'!A83</f>
        <v>346.8999999999999</v>
      </c>
      <c r="E15" s="21" t="s">
        <v>41</v>
      </c>
      <c r="F15" s="22" t="s">
        <v>42</v>
      </c>
      <c r="G15" s="22" t="s">
        <v>43</v>
      </c>
      <c r="H15" s="23" t="s">
        <v>44</v>
      </c>
      <c r="I15" s="5">
        <f t="shared" si="1"/>
        <v>10.473024999999996</v>
      </c>
      <c r="J15" s="5">
        <f t="shared" si="0"/>
        <v>23.12666666666666</v>
      </c>
      <c r="K15" s="25">
        <f>IF(ISBLANK(Distance),"",Open_time Control_1+(INT(Open)&amp;":"&amp;IF(ROUND(((Open-INT(Open))*60),0)&lt;10,0,"")&amp;ROUND(((Open-INT(Open))*60),0)))</f>
        <v>40740.686111111114</v>
      </c>
      <c r="L15" s="25">
        <f>IF(ISBLANK(Distance),"",Open_time Control_1+(INT(Close)&amp;":"&amp;IF(ROUND(((Close-INT(Close))*60),0)&lt;10,0,"")&amp;ROUND(((Close-INT(Close))*60),0)))</f>
        <v>40741.21388888889</v>
      </c>
    </row>
    <row r="16" spans="3:12" ht="12.75">
      <c r="C16" s="2" t="s">
        <v>45</v>
      </c>
      <c r="D16" s="20">
        <f>'VI402A 070812'!F91</f>
        <v>404</v>
      </c>
      <c r="E16" s="21" t="s">
        <v>19</v>
      </c>
      <c r="F16" s="22" t="s">
        <v>20</v>
      </c>
      <c r="G16" s="22" t="s">
        <v>46</v>
      </c>
      <c r="H16" s="23" t="s">
        <v>22</v>
      </c>
      <c r="I16" s="5">
        <f t="shared" si="1"/>
        <v>12.265733333333333</v>
      </c>
      <c r="J16" s="5">
        <f t="shared" si="0"/>
        <v>27</v>
      </c>
      <c r="K16" s="25">
        <f>IF(ISBLANK(Distance),"",Open_time Control_1+(INT(Open)&amp;":"&amp;IF(ROUND(((Open-INT(Open))*60),0)&lt;10,0,"")&amp;ROUND(((Open-INT(Open))*60),0)))</f>
        <v>40740.76111111111</v>
      </c>
      <c r="L16" s="25">
        <f>IF(ISBLANK(Distance),"",Open_time Control_1+(INT(Close)&amp;":"&amp;IF(ROUND(((Close-INT(Close))*60),0)&lt;10,0,"")&amp;ROUND(((Close-INT(Close))*60),0)))</f>
        <v>40741.375</v>
      </c>
    </row>
    <row r="17" spans="3:12" ht="12.75">
      <c r="C17" s="2" t="s">
        <v>47</v>
      </c>
      <c r="D17" s="20"/>
      <c r="E17" s="21"/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48</v>
      </c>
      <c r="D18" s="20"/>
      <c r="E18" s="21"/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49</v>
      </c>
      <c r="D19" s="20"/>
      <c r="E19" s="21"/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50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51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52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53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54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55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56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57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58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59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92" zoomScaleNormal="92" workbookViewId="0" topLeftCell="A10">
      <selection activeCell="E19" sqref="E19"/>
    </sheetView>
  </sheetViews>
  <sheetFormatPr defaultColWidth="11.421875" defaultRowHeight="12.75"/>
  <cols>
    <col min="1" max="1" width="10.8515625" style="30" customWidth="1"/>
    <col min="2" max="3" width="11.7109375" style="0" customWidth="1"/>
    <col min="4" max="4" width="19.28125" style="0" customWidth="1"/>
    <col min="5" max="5" width="26.7109375" style="0" customWidth="1"/>
    <col min="6" max="6" width="41.7109375" style="0" customWidth="1"/>
    <col min="7" max="7" width="18.140625" style="0" customWidth="1"/>
    <col min="8" max="8" width="9.140625" style="31" customWidth="1"/>
    <col min="9" max="9" width="8.7109375" style="0" customWidth="1"/>
    <col min="10" max="11" width="11.421875" style="0" customWidth="1"/>
    <col min="12" max="12" width="12.7109375" style="0" customWidth="1"/>
  </cols>
  <sheetData>
    <row r="1" spans="1:8" ht="19.5">
      <c r="A1" s="32" t="s">
        <v>60</v>
      </c>
      <c r="B1" s="32"/>
      <c r="C1" s="32"/>
      <c r="D1" s="32"/>
      <c r="E1" s="32"/>
      <c r="F1" s="32"/>
      <c r="G1" s="32"/>
      <c r="H1" s="11" t="s">
        <v>61</v>
      </c>
    </row>
    <row r="2" spans="1:14" ht="33.75" customHeight="1">
      <c r="A2" s="33" t="s">
        <v>62</v>
      </c>
      <c r="B2" s="34" t="s">
        <v>14</v>
      </c>
      <c r="C2" s="34" t="s">
        <v>15</v>
      </c>
      <c r="D2" s="34" t="s">
        <v>10</v>
      </c>
      <c r="E2" s="34" t="s">
        <v>63</v>
      </c>
      <c r="F2" s="34" t="s">
        <v>64</v>
      </c>
      <c r="G2" s="33" t="s">
        <v>65</v>
      </c>
      <c r="H2" s="11" t="s">
        <v>61</v>
      </c>
      <c r="N2" s="35"/>
    </row>
    <row r="3" spans="1:14" ht="36" customHeight="1">
      <c r="A3" s="36"/>
      <c r="B3" s="37">
        <f>Control_1 Open_time</f>
        <v>40740.25</v>
      </c>
      <c r="C3" s="37">
        <f>Control_1 Close_time</f>
        <v>40740.291666666664</v>
      </c>
      <c r="D3" s="38"/>
      <c r="E3" s="39">
        <f>IF(ISBLANK(Control_1 Establishment_1),"",Control_1 Establishment_1)</f>
        <v>0</v>
      </c>
      <c r="F3" s="40"/>
      <c r="G3" s="41"/>
      <c r="H3" s="11" t="s">
        <v>61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v>0.25</v>
      </c>
      <c r="C4" s="44">
        <f>Control_1 Close_time</f>
        <v>40740.291666666664</v>
      </c>
      <c r="D4" s="39" t="s">
        <v>19</v>
      </c>
      <c r="E4" s="39">
        <f>IF(ISBLANK(Control_1 Establishment_2),"",Control_1 Establishment_2)</f>
        <v>0</v>
      </c>
      <c r="F4" s="40"/>
      <c r="G4" s="41"/>
      <c r="H4" s="11" t="s">
        <v>61</v>
      </c>
      <c r="K4" s="42"/>
      <c r="N4" s="35"/>
    </row>
    <row r="5" spans="1:11" ht="36" customHeight="1">
      <c r="A5" s="45"/>
      <c r="B5" s="46">
        <f>Control_1 Open_time</f>
        <v>40740.25</v>
      </c>
      <c r="C5" s="46">
        <f>Control_1 Close_time</f>
        <v>40740.291666666664</v>
      </c>
      <c r="D5" s="47"/>
      <c r="E5" s="48">
        <f>IF(ISBLANK(Control_1 Establishment_3),"",Control_1 Establishment_3)</f>
        <v>0</v>
      </c>
      <c r="F5" s="49"/>
      <c r="G5" s="50"/>
      <c r="H5" s="11" t="s">
        <v>61</v>
      </c>
      <c r="K5" s="42"/>
    </row>
    <row r="6" spans="1:11" ht="36" customHeight="1">
      <c r="A6" s="36"/>
      <c r="B6" s="37">
        <f>Control_2 Open_time</f>
        <v>40740.3125</v>
      </c>
      <c r="C6" s="37">
        <f>Control_2 Close_time</f>
        <v>40740.39236111111</v>
      </c>
      <c r="D6" s="51"/>
      <c r="E6" s="39">
        <f>IF(ISBLANK(Control_2 Establishment_1),"",Control_2 Establishment_1)</f>
        <v>0</v>
      </c>
      <c r="F6" s="40"/>
      <c r="G6" s="41"/>
      <c r="H6" s="11" t="s">
        <v>61</v>
      </c>
      <c r="K6" s="42"/>
    </row>
    <row r="7" spans="1:11" ht="36" customHeight="1">
      <c r="A7" s="43">
        <f>IF(ISBLANK(Distance Control_2),"",Control_2 Distance)</f>
        <v>51.199999999999996</v>
      </c>
      <c r="B7" s="44">
        <f>Control_2 Open_time</f>
        <v>40740.3125</v>
      </c>
      <c r="C7" s="44">
        <f>Control_2 Close_time</f>
        <v>40740.39236111111</v>
      </c>
      <c r="D7" s="39">
        <f>IF(ISBLANK(Locale Control_2),"",Locale Control_2)</f>
        <v>0</v>
      </c>
      <c r="E7" s="39" t="s">
        <v>26</v>
      </c>
      <c r="F7" s="40"/>
      <c r="G7" s="41"/>
      <c r="H7" s="11" t="s">
        <v>61</v>
      </c>
      <c r="K7" s="42"/>
    </row>
    <row r="8" spans="1:20" ht="36" customHeight="1">
      <c r="A8" s="45"/>
      <c r="B8" s="46">
        <f>Control_2 Open_time</f>
        <v>40740.3125</v>
      </c>
      <c r="C8" s="46">
        <f>Control_2 Close_time</f>
        <v>40740.39236111111</v>
      </c>
      <c r="D8" s="47"/>
      <c r="E8" s="48">
        <f>IF(ISBLANK(Control_2 Establishment_3),"",Control_2 Establishment_3)</f>
        <v>0</v>
      </c>
      <c r="F8" s="49"/>
      <c r="G8" s="50"/>
      <c r="H8" s="11" t="s">
        <v>61</v>
      </c>
      <c r="J8" s="52" t="s">
        <v>66</v>
      </c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19" ht="36" customHeight="1">
      <c r="A9" s="36"/>
      <c r="B9" s="37">
        <f>Control_3 Open_time</f>
        <v>40740.41527777778</v>
      </c>
      <c r="C9" s="37">
        <f>Control_3 Close_time</f>
        <v>40740.62430555555</v>
      </c>
      <c r="D9" s="51"/>
      <c r="E9" s="39">
        <f>IF(ISBLANK(Control_3 Establishment_1),"",Control_3 Establishment_1)</f>
        <v>0</v>
      </c>
      <c r="F9" s="40"/>
      <c r="G9" s="41"/>
      <c r="H9" s="11" t="s">
        <v>61</v>
      </c>
      <c r="J9" s="53">
        <f>IF(ISBLANK(brevet),"",brevet&amp;" km Randonnée")</f>
        <v>0</v>
      </c>
      <c r="K9" s="53"/>
      <c r="L9" s="53"/>
      <c r="M9" s="53"/>
      <c r="N9" s="53"/>
      <c r="O9" s="53"/>
      <c r="P9" s="53"/>
      <c r="Q9" s="53"/>
      <c r="R9" s="53"/>
      <c r="S9" s="53"/>
    </row>
    <row r="10" spans="1:20" ht="36" customHeight="1">
      <c r="A10" s="43">
        <f>IF(ISBLANK(Distance Control_3),"",Control_3 Distance)</f>
        <v>134.79999999999998</v>
      </c>
      <c r="B10" s="44">
        <f>Control_3 Open_time</f>
        <v>40740.41527777778</v>
      </c>
      <c r="C10" s="44">
        <f>Control_3 Close_time</f>
        <v>40740.62430555555</v>
      </c>
      <c r="D10" s="39">
        <f>IF(ISBLANK(Locale Control_3),"",Locale Control_3)</f>
        <v>0</v>
      </c>
      <c r="E10" s="39">
        <f>IF(ISBLANK(Control_3 Establishment_2),"",Control_3 Establishment_2)</f>
        <v>0</v>
      </c>
      <c r="F10" s="40"/>
      <c r="G10" s="41"/>
      <c r="H10" s="11" t="s">
        <v>61</v>
      </c>
      <c r="J10" s="54">
        <f>IF(ISBLANK(Brevet_Description),"",Brevet_Description)</f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6" customHeight="1">
      <c r="A11" s="45"/>
      <c r="B11" s="46">
        <f>Control_3 Open_time</f>
        <v>40740.41527777778</v>
      </c>
      <c r="C11" s="46">
        <f>Control_3 Close_time</f>
        <v>40740.62430555555</v>
      </c>
      <c r="D11" s="47"/>
      <c r="E11" s="48">
        <f>IF(ISBLANK(Control_3 Establishment_3),"",Control_3 Establishment_3)</f>
        <v>0</v>
      </c>
      <c r="F11" s="49"/>
      <c r="G11" s="50"/>
      <c r="H11" s="11" t="s">
        <v>61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36" customHeight="1">
      <c r="A12" s="36"/>
      <c r="B12" s="37">
        <f>Control_4 Open_time</f>
        <v>40740.518055555556</v>
      </c>
      <c r="C12" s="37">
        <f>Control_4 Close_time</f>
        <v>40740.854166666664</v>
      </c>
      <c r="D12" s="51"/>
      <c r="E12" s="39">
        <f>IF(ISBLANK(Control_4 Establishment_1),"",Control_4 Establishment_1)</f>
        <v>0</v>
      </c>
      <c r="F12" s="40"/>
      <c r="G12" s="41"/>
      <c r="H12" s="11" t="s">
        <v>61</v>
      </c>
      <c r="J12" s="56" t="s">
        <v>67</v>
      </c>
      <c r="L12" s="57"/>
      <c r="M12" s="58"/>
      <c r="N12" s="58"/>
      <c r="O12" s="58"/>
      <c r="P12" s="58"/>
      <c r="Q12" s="58"/>
      <c r="R12" s="58"/>
      <c r="S12" s="58"/>
      <c r="T12" s="59"/>
    </row>
    <row r="13" spans="1:20" ht="36" customHeight="1">
      <c r="A13" s="43">
        <f>IF(ISBLANK(Distance Control_4),"",Control_4 Distance)</f>
        <v>217.59999999999997</v>
      </c>
      <c r="B13" s="44">
        <f>Control_4 Open_time</f>
        <v>40740.518055555556</v>
      </c>
      <c r="C13" s="44">
        <f>Control_4 Close_time</f>
        <v>40740.854166666664</v>
      </c>
      <c r="D13" s="39">
        <f>IF(ISBLANK(Locale Control_4),"",Locale Control_4)</f>
        <v>0</v>
      </c>
      <c r="E13" s="39">
        <f>IF(ISBLANK(Control_4 Establishment_2),"",Control_4 Establishment_2)</f>
        <v>0</v>
      </c>
      <c r="F13" s="40"/>
      <c r="G13" s="41"/>
      <c r="H13" s="11" t="s">
        <v>61</v>
      </c>
      <c r="J13" s="56" t="s">
        <v>68</v>
      </c>
      <c r="K13" s="56"/>
      <c r="L13" s="60"/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5"/>
      <c r="B14" s="46">
        <f>Control_4 Open_time</f>
        <v>40740.518055555556</v>
      </c>
      <c r="C14" s="46">
        <f>Control_4 Close_time</f>
        <v>40740.854166666664</v>
      </c>
      <c r="D14" s="47"/>
      <c r="E14" s="48">
        <f>IF(ISBLANK(Control_4 Establishment_3),"",Control_4 Establishment_3)</f>
        <v>0</v>
      </c>
      <c r="F14" s="49"/>
      <c r="G14" s="50"/>
      <c r="H14" s="11" t="s">
        <v>61</v>
      </c>
      <c r="J14" s="56"/>
      <c r="K14" s="56"/>
      <c r="L14" s="60">
        <f>IF(ISBLANK(Address_2),"",Address_2)</f>
      </c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36"/>
      <c r="B15" s="37">
        <f>Control_5 Open_time</f>
        <v>40740.58611111111</v>
      </c>
      <c r="C15" s="37">
        <f>Control_5 Close_time</f>
        <v>40740.99930555555</v>
      </c>
      <c r="D15" s="51"/>
      <c r="E15" s="39">
        <f>IF(ISBLANK(Control_5 Establishment_1),"",Control_5 Establishment_1)</f>
        <v>0</v>
      </c>
      <c r="F15" s="40"/>
      <c r="G15" s="41"/>
      <c r="H15" s="11" t="s">
        <v>61</v>
      </c>
      <c r="J15" s="56" t="s">
        <v>69</v>
      </c>
      <c r="K15" s="56"/>
      <c r="L15" s="60"/>
      <c r="M15" s="61"/>
      <c r="N15" s="61"/>
      <c r="O15" s="63"/>
      <c r="P15" s="63" t="s">
        <v>70</v>
      </c>
      <c r="Q15" s="63"/>
      <c r="R15" s="63"/>
      <c r="S15" s="60"/>
      <c r="T15" s="62"/>
    </row>
    <row r="16" spans="1:20" ht="36" customHeight="1">
      <c r="A16" s="43">
        <f>IF(ISBLANK(Distance Control_5),"",Control_5 Distance)</f>
        <v>269.69999999999993</v>
      </c>
      <c r="B16" s="44">
        <f>Control_5 Open_time</f>
        <v>40740.58611111111</v>
      </c>
      <c r="C16" s="44">
        <f>Control_5 Close_time</f>
        <v>40740.99930555555</v>
      </c>
      <c r="D16" s="39">
        <f>IF(ISBLANK(Locale Control_5),"",Locale Control_5)</f>
        <v>0</v>
      </c>
      <c r="E16" s="39">
        <f>IF(ISBLANK(Control_5 Establishment_2),"",Control_5 Establishment_2)</f>
        <v>0</v>
      </c>
      <c r="F16" s="40"/>
      <c r="G16" s="41"/>
      <c r="H16" s="11" t="s">
        <v>61</v>
      </c>
      <c r="J16" s="56" t="s">
        <v>71</v>
      </c>
      <c r="K16" s="56"/>
      <c r="L16" s="60"/>
      <c r="M16" s="61"/>
      <c r="N16" s="61"/>
      <c r="O16" s="63"/>
      <c r="P16" s="63" t="s">
        <v>72</v>
      </c>
      <c r="Q16" s="63"/>
      <c r="R16" s="63"/>
      <c r="S16" s="60"/>
      <c r="T16" s="62"/>
    </row>
    <row r="17" spans="1:19" ht="36" customHeight="1">
      <c r="A17" s="45"/>
      <c r="B17" s="46">
        <f>Control_5 Open_time</f>
        <v>40740.58611111111</v>
      </c>
      <c r="C17" s="46">
        <f>Control_5 Close_time</f>
        <v>40740.99930555555</v>
      </c>
      <c r="D17" s="47"/>
      <c r="E17" s="48">
        <f>IF(ISBLANK(Control_5 Establishment_3),"",Control_5 Establishment_3)</f>
        <v>0</v>
      </c>
      <c r="F17" s="49"/>
      <c r="G17" s="50"/>
      <c r="H17" s="11" t="s">
        <v>61</v>
      </c>
      <c r="L17" s="64"/>
      <c r="M17" s="65"/>
      <c r="N17" s="65"/>
      <c r="O17" s="65"/>
      <c r="P17" s="65"/>
      <c r="Q17" s="65"/>
      <c r="R17" s="65"/>
      <c r="S17" s="65"/>
    </row>
    <row r="18" spans="1:20" ht="36" customHeight="1">
      <c r="A18" s="36"/>
      <c r="B18" s="37">
        <f>Control_6 Open_time</f>
        <v>40740.686111111114</v>
      </c>
      <c r="C18" s="37">
        <f>Control_6 Close_time</f>
        <v>40741.21388888889</v>
      </c>
      <c r="D18" s="51"/>
      <c r="E18" s="39">
        <f>IF(ISBLANK(Control_6 Establishment_1),"",Control_6 Establishment_1)</f>
        <v>0</v>
      </c>
      <c r="F18" s="40"/>
      <c r="G18" s="41"/>
      <c r="H18" s="11" t="s">
        <v>61</v>
      </c>
      <c r="J18" s="56" t="s">
        <v>73</v>
      </c>
      <c r="L18" s="66"/>
      <c r="M18" s="67"/>
      <c r="N18" s="67"/>
      <c r="O18" s="65"/>
      <c r="P18" s="63" t="s">
        <v>74</v>
      </c>
      <c r="Q18" s="68"/>
      <c r="R18" s="69"/>
      <c r="S18" s="69"/>
      <c r="T18" s="70"/>
    </row>
    <row r="19" spans="1:19" ht="36" customHeight="1">
      <c r="A19" s="43">
        <f>IF(ISBLANK(Distance Control_6),"",Control_6 Distance)</f>
        <v>346.8999999999999</v>
      </c>
      <c r="B19" s="44">
        <f>Control_6 Open_time</f>
        <v>40740.686111111114</v>
      </c>
      <c r="C19" s="44">
        <f>Control_6 Close_time</f>
        <v>40741.21388888889</v>
      </c>
      <c r="D19" s="39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61</v>
      </c>
      <c r="L19" s="65"/>
      <c r="M19" s="65"/>
      <c r="N19" s="65"/>
      <c r="O19" s="65"/>
      <c r="P19" s="65"/>
      <c r="Q19" s="65"/>
      <c r="R19" s="65"/>
      <c r="S19" s="65"/>
    </row>
    <row r="20" spans="1:20" ht="36" customHeight="1">
      <c r="A20" s="45"/>
      <c r="B20" s="46">
        <f>Control_6 Open_time</f>
        <v>40740.686111111114</v>
      </c>
      <c r="C20" s="46">
        <f>Control_6 Close_time</f>
        <v>40741.21388888889</v>
      </c>
      <c r="D20" s="47"/>
      <c r="E20" s="48">
        <f>IF(ISBLANK(Control_6 Establishment_3),"",Control_6 Establishment_3)</f>
        <v>0</v>
      </c>
      <c r="F20" s="49"/>
      <c r="G20" s="50"/>
      <c r="H20" s="11" t="s">
        <v>61</v>
      </c>
      <c r="J20" s="71" t="s">
        <v>75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ht="36" customHeight="1">
      <c r="A21" s="36"/>
      <c r="B21" s="37">
        <f>Control_7 Open_time</f>
        <v>40740.76111111111</v>
      </c>
      <c r="C21" s="37">
        <f>Control_7 Close_time</f>
        <v>40741.375</v>
      </c>
      <c r="D21" s="51"/>
      <c r="E21" s="39">
        <f>IF(ISBLANK(Control_7 Establishment_1),"",Control_7 Establishment_1)</f>
        <v>0</v>
      </c>
      <c r="F21" s="40"/>
      <c r="G21" s="41"/>
      <c r="H21" s="11" t="s">
        <v>61</v>
      </c>
      <c r="J21" s="71" t="s">
        <v>76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19" ht="36" customHeight="1">
      <c r="A22" s="43">
        <f>IF(ISBLANK(Distance Control_7),"",Control_7 Distance)</f>
        <v>404</v>
      </c>
      <c r="B22" s="44">
        <f>Control_7 Open_time</f>
        <v>40740.76111111111</v>
      </c>
      <c r="C22" s="44">
        <f>Control_7 Close_time</f>
        <v>40741.375</v>
      </c>
      <c r="D22" s="39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61</v>
      </c>
      <c r="L22" s="65"/>
      <c r="M22" s="65"/>
      <c r="N22" s="65"/>
      <c r="O22" s="65"/>
      <c r="P22" s="65"/>
      <c r="Q22" s="65"/>
      <c r="R22" s="65"/>
      <c r="S22" s="65"/>
    </row>
    <row r="23" spans="1:20" ht="36" customHeight="1">
      <c r="A23" s="45"/>
      <c r="B23" s="46">
        <f>Control_7 Open_time</f>
        <v>40740.76111111111</v>
      </c>
      <c r="C23" s="46">
        <f>Control_7 Close_time</f>
        <v>40741.375</v>
      </c>
      <c r="D23" s="47"/>
      <c r="E23" s="48">
        <f>IF(ISBLANK(Control_7 Establishment_3),"",Control_7 Establishment_3)</f>
        <v>0</v>
      </c>
      <c r="F23" s="49"/>
      <c r="G23" s="50"/>
      <c r="H23" s="11" t="s">
        <v>61</v>
      </c>
      <c r="J23" s="72" t="s">
        <v>77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1"/>
      <c r="E24" s="39">
        <f>IF(ISBLANK(Control_8 Establishment_1),"",Control_8 Establishment_1)</f>
        <v>0</v>
      </c>
      <c r="F24" s="40"/>
      <c r="G24" s="41"/>
      <c r="H24" s="11" t="s">
        <v>61</v>
      </c>
      <c r="J24" s="56" t="s">
        <v>78</v>
      </c>
      <c r="K24" s="73">
        <f>IF(ISBLANK(Start_date),"",Start_date)</f>
        <v>40740</v>
      </c>
      <c r="L24" s="73"/>
      <c r="M24" s="73"/>
      <c r="N24" s="65"/>
      <c r="O24" s="63" t="s">
        <v>79</v>
      </c>
      <c r="P24" s="65"/>
      <c r="Q24" s="69"/>
      <c r="R24" s="69"/>
      <c r="S24" s="69"/>
      <c r="T24" s="74"/>
    </row>
    <row r="25" spans="1:20" ht="36" customHeight="1">
      <c r="A25" s="43">
        <f>IF(ISBLANK(Distance Control_8),"",Control_8 Distance)</f>
      </c>
      <c r="B25" s="44">
        <f>Control_8 Open_time</f>
        <v>0</v>
      </c>
      <c r="C25" s="44">
        <f>Control_8 Close_time</f>
        <v>0</v>
      </c>
      <c r="D25" s="39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61</v>
      </c>
      <c r="L25" s="65"/>
      <c r="M25" s="65"/>
      <c r="N25" s="65"/>
      <c r="O25" s="63" t="s">
        <v>80</v>
      </c>
      <c r="P25" s="65"/>
      <c r="Q25" s="69"/>
      <c r="R25" s="69"/>
      <c r="S25" s="69"/>
      <c r="T25" s="74"/>
    </row>
    <row r="26" spans="1:20" ht="36" customHeight="1">
      <c r="A26" s="45"/>
      <c r="B26" s="46">
        <f>Control_8 Open_time</f>
        <v>0</v>
      </c>
      <c r="C26" s="46">
        <f>Control_8 Close_time</f>
        <v>0</v>
      </c>
      <c r="D26" s="47"/>
      <c r="E26" s="48">
        <f>IF(ISBLANK(Control_8 Establishment_3),"",Control_8 Establishment_3)</f>
        <v>0</v>
      </c>
      <c r="F26" s="49"/>
      <c r="G26" s="50"/>
      <c r="H26" s="11" t="s">
        <v>61</v>
      </c>
      <c r="J26" s="74"/>
      <c r="K26" s="74"/>
      <c r="L26" s="69"/>
      <c r="M26" s="69"/>
      <c r="N26" s="65"/>
      <c r="O26" s="63" t="s">
        <v>81</v>
      </c>
      <c r="P26" s="65"/>
      <c r="Q26" s="69"/>
      <c r="R26" s="69"/>
      <c r="S26" s="69"/>
      <c r="T26" s="74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1"/>
      <c r="E27" s="39">
        <f>IF(ISBLANK(Control_9 Establishment_1),"",Control_9 Establishment_1)</f>
        <v>0</v>
      </c>
      <c r="F27" s="40"/>
      <c r="G27" s="41"/>
      <c r="H27" s="11" t="s">
        <v>61</v>
      </c>
      <c r="J27" s="75" t="s">
        <v>82</v>
      </c>
      <c r="K27" s="75"/>
      <c r="L27" s="75"/>
      <c r="M27" s="75"/>
      <c r="N27" s="65"/>
      <c r="O27" s="65"/>
      <c r="P27" s="65"/>
      <c r="Q27" s="65"/>
      <c r="R27" s="65"/>
      <c r="S27" s="65"/>
    </row>
    <row r="28" spans="1:19" ht="36" customHeight="1">
      <c r="A28" s="43">
        <f>IF(ISBLANK(Distance Control_9),"",Control_9 Distance)</f>
      </c>
      <c r="B28" s="44">
        <f>Control_9 Open_time</f>
        <v>0</v>
      </c>
      <c r="C28" s="44">
        <f>Control_9 Close_time</f>
        <v>0</v>
      </c>
      <c r="D28" s="39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61</v>
      </c>
      <c r="L28" s="76" t="s">
        <v>83</v>
      </c>
      <c r="M28" s="76"/>
      <c r="N28" s="76"/>
      <c r="O28" s="76"/>
      <c r="P28" s="76"/>
      <c r="Q28" s="76"/>
      <c r="R28" s="65"/>
      <c r="S28" s="65"/>
    </row>
    <row r="29" spans="1:19" ht="36" customHeight="1">
      <c r="A29" s="45"/>
      <c r="B29" s="46">
        <f>Control_9 Open_time</f>
        <v>0</v>
      </c>
      <c r="C29" s="46">
        <f>Control_9 Close_time</f>
        <v>0</v>
      </c>
      <c r="D29" s="47"/>
      <c r="E29" s="48">
        <f>IF(ISBLANK(Control_9 Establishment_3),"",Control_9 Establishment_3)</f>
        <v>0</v>
      </c>
      <c r="F29" s="49"/>
      <c r="G29" s="50"/>
      <c r="H29" s="11" t="s">
        <v>61</v>
      </c>
      <c r="K29" s="77"/>
      <c r="L29" s="78"/>
      <c r="M29" s="78"/>
      <c r="N29" s="79"/>
      <c r="O29" s="80"/>
      <c r="P29" s="78"/>
      <c r="Q29" s="78"/>
      <c r="R29" s="79"/>
      <c r="S29" s="65" t="s">
        <v>84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1"/>
      <c r="E30" s="39">
        <f>IF(ISBLANK(Control_10 Establishment_1),"",Control_10 Establishment_1)</f>
        <v>0</v>
      </c>
      <c r="F30" s="40"/>
      <c r="G30" s="41"/>
      <c r="H30" s="11" t="s">
        <v>61</v>
      </c>
      <c r="K30" s="81"/>
      <c r="L30" s="82"/>
      <c r="M30" s="82"/>
      <c r="N30" s="83"/>
      <c r="O30" s="84"/>
      <c r="P30" s="82"/>
      <c r="Q30" s="82"/>
      <c r="R30" s="83"/>
      <c r="S30" s="85"/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39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61</v>
      </c>
      <c r="K31" s="86"/>
      <c r="L31" s="69"/>
      <c r="M31" s="69"/>
      <c r="N31" s="87"/>
      <c r="O31" s="88"/>
      <c r="P31" s="69"/>
      <c r="Q31" s="69"/>
      <c r="R31" s="87"/>
      <c r="S31" s="65"/>
      <c r="U31" s="89"/>
    </row>
    <row r="32" spans="1:21" ht="36" customHeight="1">
      <c r="A32" s="45"/>
      <c r="B32" s="46">
        <f>Control_10 Open_time</f>
        <v>0</v>
      </c>
      <c r="C32" s="46">
        <f>Control_10 Close_time</f>
        <v>0</v>
      </c>
      <c r="D32" s="47"/>
      <c r="E32" s="48">
        <f>IF(ISBLANK(Control_10 Establishment_3),"",Control_10 Establishment_3)</f>
        <v>0</v>
      </c>
      <c r="F32" s="49"/>
      <c r="G32" s="50"/>
      <c r="H32" s="11" t="s">
        <v>61</v>
      </c>
      <c r="L32" s="63" t="s">
        <v>85</v>
      </c>
      <c r="M32" s="65"/>
      <c r="N32" s="61" t="str">
        <f>IF(ISBLANK(Brevet_Number),"",Brevet_Number)</f>
        <v>VI400-3</v>
      </c>
      <c r="O32" s="61"/>
      <c r="P32" s="61"/>
      <c r="Q32" s="65"/>
      <c r="R32" s="65"/>
      <c r="S32" s="65"/>
      <c r="U32" s="89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0">
    <mergeCell ref="A1:G1"/>
    <mergeCell ref="J8:T8"/>
    <mergeCell ref="J9:S9"/>
    <mergeCell ref="J10:T10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4" sqref="B1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8" max="8" width="9.0039062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421875" style="0" customWidth="1"/>
    <col min="17" max="17" width="9.00390625" style="0" customWidth="1"/>
  </cols>
  <sheetData>
    <row r="1" spans="1:18" ht="24.75">
      <c r="A1" s="90"/>
      <c r="B1" s="91" t="s">
        <v>86</v>
      </c>
      <c r="C1" s="91" t="s">
        <v>87</v>
      </c>
      <c r="D1" s="91" t="s">
        <v>88</v>
      </c>
      <c r="E1" s="91" t="s">
        <v>89</v>
      </c>
      <c r="F1" s="91" t="s">
        <v>90</v>
      </c>
      <c r="G1" s="91" t="s">
        <v>69</v>
      </c>
      <c r="H1" s="92" t="s">
        <v>70</v>
      </c>
      <c r="I1" s="91" t="s">
        <v>71</v>
      </c>
      <c r="J1" s="91" t="s">
        <v>72</v>
      </c>
      <c r="K1" s="93" t="s">
        <v>91</v>
      </c>
      <c r="L1" s="93" t="s">
        <v>92</v>
      </c>
      <c r="M1" s="94" t="s">
        <v>93</v>
      </c>
      <c r="N1" s="95" t="s">
        <v>74</v>
      </c>
      <c r="O1" s="96" t="s">
        <v>94</v>
      </c>
      <c r="P1" s="96" t="s">
        <v>95</v>
      </c>
      <c r="Q1" s="96" t="s">
        <v>96</v>
      </c>
      <c r="R1" s="96" t="s">
        <v>97</v>
      </c>
    </row>
    <row r="2" spans="1:18" ht="12.75">
      <c r="A2" s="90">
        <v>1</v>
      </c>
      <c r="B2" s="97" t="s">
        <v>98</v>
      </c>
      <c r="C2" s="97" t="s">
        <v>99</v>
      </c>
      <c r="D2" s="97"/>
      <c r="E2" s="98" t="s">
        <v>100</v>
      </c>
      <c r="F2" s="97">
        <f>IF(ISBLANK(F3),"",F3)</f>
      </c>
      <c r="G2" s="97" t="s">
        <v>101</v>
      </c>
      <c r="H2" s="99" t="s">
        <v>102</v>
      </c>
      <c r="I2" s="97" t="s">
        <v>103</v>
      </c>
      <c r="J2" s="97" t="s">
        <v>104</v>
      </c>
      <c r="K2" s="100" t="s">
        <v>105</v>
      </c>
      <c r="L2" s="100">
        <f>IF(ISBLANK(L3),"",L3)</f>
      </c>
      <c r="M2" s="100">
        <f>IF(ISBLANK(M3),"",M3)</f>
      </c>
      <c r="N2" s="101" t="s">
        <v>106</v>
      </c>
      <c r="O2" s="102"/>
      <c r="P2" s="103"/>
      <c r="Q2" s="102"/>
      <c r="R2" s="102"/>
    </row>
    <row r="3" spans="1:18" ht="12.75">
      <c r="A3" s="104">
        <v>9</v>
      </c>
      <c r="B3" s="105" t="s">
        <v>107</v>
      </c>
      <c r="C3" s="105" t="s">
        <v>108</v>
      </c>
      <c r="D3" s="105"/>
      <c r="E3" s="106" t="s">
        <v>109</v>
      </c>
      <c r="F3" s="105"/>
      <c r="G3" s="105" t="s">
        <v>110</v>
      </c>
      <c r="H3" s="105" t="s">
        <v>111</v>
      </c>
      <c r="I3" s="105" t="s">
        <v>112</v>
      </c>
      <c r="J3" s="105"/>
      <c r="K3" s="107" t="s">
        <v>113</v>
      </c>
      <c r="L3" s="108"/>
      <c r="M3" s="108"/>
      <c r="N3" s="109"/>
      <c r="O3" s="110"/>
      <c r="P3" s="111"/>
      <c r="Q3" s="110"/>
      <c r="R3" s="111"/>
    </row>
    <row r="4" spans="1:18" ht="12.75">
      <c r="A4">
        <v>10</v>
      </c>
      <c r="B4" s="105" t="s">
        <v>114</v>
      </c>
      <c r="C4" s="105" t="s">
        <v>115</v>
      </c>
      <c r="D4" s="105" t="s">
        <v>116</v>
      </c>
      <c r="E4" s="105" t="s">
        <v>117</v>
      </c>
      <c r="F4" s="105"/>
      <c r="G4" s="105" t="s">
        <v>101</v>
      </c>
      <c r="H4" s="105" t="s">
        <v>102</v>
      </c>
      <c r="I4" s="105" t="s">
        <v>103</v>
      </c>
      <c r="J4" s="105" t="s">
        <v>118</v>
      </c>
      <c r="K4" s="108" t="s">
        <v>119</v>
      </c>
      <c r="L4" s="108"/>
      <c r="M4" s="108"/>
      <c r="N4" s="109" t="s">
        <v>120</v>
      </c>
      <c r="O4" s="110"/>
      <c r="P4" s="111"/>
      <c r="Q4" s="110"/>
      <c r="R4" s="111"/>
    </row>
    <row r="5" spans="1:18" ht="12.75">
      <c r="A5" s="104">
        <v>11</v>
      </c>
      <c r="B5" s="105" t="s">
        <v>121</v>
      </c>
      <c r="C5" s="105" t="s">
        <v>122</v>
      </c>
      <c r="D5" s="105"/>
      <c r="E5" s="112" t="s">
        <v>123</v>
      </c>
      <c r="F5" s="105"/>
      <c r="G5" s="105" t="s">
        <v>101</v>
      </c>
      <c r="H5" s="105" t="s">
        <v>102</v>
      </c>
      <c r="I5" s="105" t="s">
        <v>103</v>
      </c>
      <c r="J5" s="112" t="s">
        <v>124</v>
      </c>
      <c r="K5" s="113" t="s">
        <v>125</v>
      </c>
      <c r="L5" s="108"/>
      <c r="M5" s="108"/>
      <c r="N5" s="105"/>
      <c r="O5" s="111"/>
      <c r="P5" s="110"/>
      <c r="Q5" s="111"/>
      <c r="R5" s="111"/>
    </row>
    <row r="6" spans="1:18" ht="12.75">
      <c r="A6" s="104">
        <v>13</v>
      </c>
      <c r="B6" s="105" t="s">
        <v>126</v>
      </c>
      <c r="C6" s="105" t="s">
        <v>127</v>
      </c>
      <c r="D6" s="105"/>
      <c r="E6" s="105"/>
      <c r="F6" s="105"/>
      <c r="G6" s="105"/>
      <c r="H6" s="105"/>
      <c r="I6" s="105"/>
      <c r="J6" s="105"/>
      <c r="K6" s="108"/>
      <c r="L6" s="108"/>
      <c r="M6" s="108"/>
      <c r="N6" s="105"/>
      <c r="O6" s="111"/>
      <c r="P6" s="111"/>
      <c r="Q6" s="111"/>
      <c r="R6" s="111"/>
    </row>
    <row r="7" spans="1:18" ht="12.75">
      <c r="A7" s="104">
        <v>14</v>
      </c>
      <c r="B7" s="105" t="s">
        <v>128</v>
      </c>
      <c r="C7" s="105" t="s">
        <v>129</v>
      </c>
      <c r="D7" s="105"/>
      <c r="E7" s="105"/>
      <c r="F7" s="105"/>
      <c r="G7" s="105" t="s">
        <v>130</v>
      </c>
      <c r="H7" s="105" t="s">
        <v>102</v>
      </c>
      <c r="I7" s="105" t="s">
        <v>103</v>
      </c>
      <c r="J7" s="105"/>
      <c r="K7" s="108"/>
      <c r="L7" s="108"/>
      <c r="M7" s="108"/>
      <c r="N7" s="105"/>
      <c r="O7" s="111"/>
      <c r="P7" s="110"/>
      <c r="Q7" s="111"/>
      <c r="R7" s="111"/>
    </row>
    <row r="8" spans="1:18" ht="12.75">
      <c r="A8" s="104">
        <v>15</v>
      </c>
      <c r="B8" s="105" t="s">
        <v>131</v>
      </c>
      <c r="C8" s="105" t="s">
        <v>132</v>
      </c>
      <c r="D8" s="105"/>
      <c r="E8" s="104" t="s">
        <v>133</v>
      </c>
      <c r="F8" s="105"/>
      <c r="G8" s="104" t="s">
        <v>130</v>
      </c>
      <c r="H8" s="105" t="s">
        <v>102</v>
      </c>
      <c r="I8" s="105" t="s">
        <v>103</v>
      </c>
      <c r="J8" t="s">
        <v>134</v>
      </c>
      <c r="K8" s="114" t="s">
        <v>135</v>
      </c>
      <c r="L8" s="108"/>
      <c r="M8" s="108"/>
      <c r="N8" s="105"/>
      <c r="O8" s="111"/>
      <c r="P8" s="110"/>
      <c r="Q8" s="111"/>
      <c r="R8" s="111"/>
    </row>
    <row r="9" spans="1:18" ht="12.75">
      <c r="A9" s="104">
        <v>16</v>
      </c>
      <c r="B9" s="105" t="s">
        <v>136</v>
      </c>
      <c r="C9" s="105" t="s">
        <v>137</v>
      </c>
      <c r="D9" s="105"/>
      <c r="E9" s="104" t="s">
        <v>138</v>
      </c>
      <c r="F9" s="105"/>
      <c r="G9" s="105" t="s">
        <v>101</v>
      </c>
      <c r="H9" s="105" t="s">
        <v>102</v>
      </c>
      <c r="I9" s="105" t="s">
        <v>103</v>
      </c>
      <c r="J9" s="106" t="s">
        <v>139</v>
      </c>
      <c r="K9" s="108" t="s">
        <v>140</v>
      </c>
      <c r="L9" s="108"/>
      <c r="M9" s="108"/>
      <c r="N9" s="109" t="s">
        <v>141</v>
      </c>
      <c r="O9" s="111"/>
      <c r="P9" s="111"/>
      <c r="Q9" s="111"/>
      <c r="R9" s="111"/>
    </row>
    <row r="10" spans="1:18" ht="12.75">
      <c r="A10" s="104">
        <v>17</v>
      </c>
      <c r="B10" s="105" t="s">
        <v>142</v>
      </c>
      <c r="C10" s="105" t="s">
        <v>143</v>
      </c>
      <c r="D10" s="105"/>
      <c r="E10" s="115"/>
      <c r="F10" s="105"/>
      <c r="G10" s="105" t="s">
        <v>101</v>
      </c>
      <c r="H10" s="105" t="s">
        <v>102</v>
      </c>
      <c r="I10" s="105" t="s">
        <v>103</v>
      </c>
      <c r="J10" s="105"/>
      <c r="K10" s="108"/>
      <c r="L10" s="108"/>
      <c r="M10" s="108"/>
      <c r="N10" s="109"/>
      <c r="O10" s="110"/>
      <c r="P10" s="110"/>
      <c r="Q10" s="110"/>
      <c r="R10" s="111"/>
    </row>
    <row r="11" spans="1:18" ht="12.75">
      <c r="A11" s="104">
        <v>18</v>
      </c>
      <c r="B11" s="105" t="s">
        <v>144</v>
      </c>
      <c r="C11" s="105" t="s">
        <v>145</v>
      </c>
      <c r="D11" s="105"/>
      <c r="E11" s="105"/>
      <c r="F11" s="105"/>
      <c r="G11" s="105" t="s">
        <v>101</v>
      </c>
      <c r="H11" s="105" t="s">
        <v>102</v>
      </c>
      <c r="I11" s="105" t="s">
        <v>103</v>
      </c>
      <c r="J11" s="105"/>
      <c r="K11" s="108"/>
      <c r="L11" s="108"/>
      <c r="M11" s="108"/>
      <c r="N11" s="105"/>
      <c r="O11" s="111"/>
      <c r="P11" s="111"/>
      <c r="Q11" s="111"/>
      <c r="R11" s="111"/>
    </row>
    <row r="12" spans="1:18" ht="12.75">
      <c r="A12" s="104">
        <v>19</v>
      </c>
      <c r="B12" s="105" t="s">
        <v>146</v>
      </c>
      <c r="C12" s="105" t="s">
        <v>147</v>
      </c>
      <c r="D12" s="105"/>
      <c r="E12" s="106" t="s">
        <v>148</v>
      </c>
      <c r="F12" s="105"/>
      <c r="G12" s="106" t="s">
        <v>44</v>
      </c>
      <c r="H12" s="105" t="s">
        <v>102</v>
      </c>
      <c r="I12" s="105" t="s">
        <v>103</v>
      </c>
      <c r="J12" s="106" t="s">
        <v>149</v>
      </c>
      <c r="K12" s="106" t="s">
        <v>150</v>
      </c>
      <c r="L12" s="108"/>
      <c r="M12" s="108"/>
      <c r="N12" s="105"/>
      <c r="O12" s="111"/>
      <c r="P12" s="110"/>
      <c r="Q12" s="111"/>
      <c r="R12" s="111"/>
    </row>
    <row r="13" spans="1:18" ht="12.75">
      <c r="A13" s="104">
        <v>20</v>
      </c>
      <c r="B13" s="105" t="s">
        <v>151</v>
      </c>
      <c r="C13" s="105" t="s">
        <v>152</v>
      </c>
      <c r="D13" s="105"/>
      <c r="E13" s="106" t="s">
        <v>153</v>
      </c>
      <c r="F13" s="105"/>
      <c r="G13" s="105" t="s">
        <v>101</v>
      </c>
      <c r="H13" s="105" t="s">
        <v>102</v>
      </c>
      <c r="I13" s="105" t="s">
        <v>103</v>
      </c>
      <c r="J13" s="105" t="s">
        <v>154</v>
      </c>
      <c r="K13" s="108" t="s">
        <v>155</v>
      </c>
      <c r="L13" s="108"/>
      <c r="M13" s="108"/>
      <c r="N13" s="105" t="s">
        <v>156</v>
      </c>
      <c r="O13" s="110"/>
      <c r="P13" s="110"/>
      <c r="Q13" s="110"/>
      <c r="R13" s="111"/>
    </row>
    <row r="14" spans="1:18" ht="12.75">
      <c r="A14" s="104">
        <v>21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8"/>
      <c r="L14" s="108"/>
      <c r="M14" s="108"/>
      <c r="N14" s="105"/>
      <c r="O14" s="111"/>
      <c r="P14" s="110"/>
      <c r="Q14" s="111"/>
      <c r="R14" s="111"/>
    </row>
    <row r="15" spans="1:18" ht="12.75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8"/>
      <c r="L15" s="108"/>
      <c r="M15" s="108"/>
      <c r="N15" s="105"/>
      <c r="O15" s="111"/>
      <c r="P15" s="110"/>
      <c r="Q15" s="111"/>
      <c r="R15" s="111"/>
    </row>
    <row r="16" spans="1:18" ht="12.7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8"/>
      <c r="L16" s="108"/>
      <c r="M16" s="108"/>
      <c r="N16" s="105"/>
      <c r="O16" s="111"/>
      <c r="P16" s="111"/>
      <c r="Q16" s="111"/>
      <c r="R16" s="111"/>
    </row>
    <row r="17" spans="1:18" ht="12.75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16"/>
      <c r="L17" s="108"/>
      <c r="M17" s="108"/>
      <c r="N17" s="105"/>
      <c r="O17" s="111"/>
      <c r="P17" s="110"/>
      <c r="Q17" s="111"/>
      <c r="R17" s="111"/>
    </row>
    <row r="18" spans="1:18" ht="12.75">
      <c r="A18" s="104"/>
      <c r="B18" s="105"/>
      <c r="C18" s="105"/>
      <c r="D18" s="105"/>
      <c r="E18" s="117"/>
      <c r="F18" s="105"/>
      <c r="G18" s="105"/>
      <c r="H18" s="105"/>
      <c r="I18" s="105"/>
      <c r="J18" s="105"/>
      <c r="K18" s="108"/>
      <c r="L18" s="108"/>
      <c r="M18" s="108"/>
      <c r="N18" s="105"/>
      <c r="O18" s="111"/>
      <c r="P18" s="110"/>
      <c r="Q18" s="111"/>
      <c r="R18" s="111"/>
    </row>
    <row r="19" spans="1:18" ht="12.7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8"/>
      <c r="L19" s="108"/>
      <c r="M19" s="108"/>
      <c r="N19" s="105"/>
      <c r="O19" s="111"/>
      <c r="P19" s="110"/>
      <c r="Q19" s="111"/>
      <c r="R19" s="111"/>
    </row>
    <row r="20" spans="1:18" ht="12.7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8"/>
      <c r="L20" s="108"/>
      <c r="M20" s="108"/>
      <c r="N20" s="105"/>
      <c r="O20" s="111"/>
      <c r="P20" s="110"/>
      <c r="Q20" s="111"/>
      <c r="R20" s="111"/>
    </row>
    <row r="21" spans="1:18" ht="12.7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8"/>
      <c r="L21" s="108"/>
      <c r="M21" s="108"/>
      <c r="N21" s="105"/>
      <c r="O21" s="111"/>
      <c r="P21" s="111"/>
      <c r="Q21" s="111"/>
      <c r="R21" s="111"/>
    </row>
    <row r="22" spans="1:18" ht="12.7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8"/>
      <c r="L22" s="108"/>
      <c r="M22" s="108"/>
      <c r="N22" s="105"/>
      <c r="O22" s="111"/>
      <c r="P22" s="111"/>
      <c r="Q22" s="111"/>
      <c r="R22" s="111"/>
    </row>
    <row r="23" spans="1:18" ht="12.7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8"/>
      <c r="L23" s="108"/>
      <c r="M23" s="108"/>
      <c r="N23" s="105"/>
      <c r="O23" s="111"/>
      <c r="P23" s="111"/>
      <c r="Q23" s="111"/>
      <c r="R23" s="111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8"/>
      <c r="L24" s="108"/>
      <c r="M24" s="108"/>
      <c r="N24" s="105"/>
      <c r="O24" s="111"/>
      <c r="P24" s="110"/>
      <c r="Q24" s="111"/>
      <c r="R24" s="111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8"/>
      <c r="L25" s="108"/>
      <c r="M25" s="108"/>
      <c r="N25" s="105"/>
      <c r="O25" s="111"/>
      <c r="P25" s="111"/>
      <c r="Q25" s="111"/>
      <c r="R25" s="111"/>
    </row>
    <row r="26" spans="1:18" ht="12.7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8"/>
      <c r="L26" s="108"/>
      <c r="M26" s="108"/>
      <c r="N26" s="105"/>
      <c r="O26" s="111"/>
      <c r="P26" s="110"/>
      <c r="Q26" s="111"/>
      <c r="R26" s="111"/>
    </row>
    <row r="27" spans="1:18" ht="12.7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8"/>
      <c r="L27" s="108"/>
      <c r="M27" s="108"/>
      <c r="N27" s="105"/>
      <c r="O27" s="111"/>
      <c r="P27" s="110"/>
      <c r="Q27" s="111"/>
      <c r="R27" s="111"/>
    </row>
    <row r="28" spans="1:18" ht="12.75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8"/>
      <c r="L28" s="108"/>
      <c r="M28" s="108"/>
      <c r="N28" s="105"/>
      <c r="O28" s="111"/>
      <c r="P28" s="110"/>
      <c r="Q28" s="111"/>
      <c r="R28" s="111"/>
    </row>
    <row r="29" spans="1:18" ht="12.75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8"/>
      <c r="L29" s="108"/>
      <c r="M29" s="108"/>
      <c r="N29" s="105"/>
      <c r="O29" s="111"/>
      <c r="P29" s="110"/>
      <c r="Q29" s="111"/>
      <c r="R29" s="111"/>
    </row>
    <row r="30" spans="1:18" ht="12.75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8"/>
      <c r="L30" s="108"/>
      <c r="M30" s="108"/>
      <c r="N30" s="105"/>
      <c r="O30" s="111"/>
      <c r="P30" s="110"/>
      <c r="Q30" s="111"/>
      <c r="R30" s="111"/>
    </row>
    <row r="31" spans="1:18" ht="12.75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8"/>
      <c r="L31" s="108"/>
      <c r="M31" s="108"/>
      <c r="N31" s="105"/>
      <c r="O31" s="111"/>
      <c r="P31" s="110"/>
      <c r="Q31" s="111"/>
      <c r="R31" s="111"/>
    </row>
    <row r="32" spans="11:18" ht="12.75">
      <c r="K32" s="118"/>
      <c r="L32" s="118"/>
      <c r="M32" s="118"/>
      <c r="O32" s="119"/>
      <c r="Q32" s="119"/>
      <c r="R32" s="119"/>
    </row>
    <row r="34" ht="12.75">
      <c r="P34" t="s">
        <v>157</v>
      </c>
    </row>
    <row r="35" ht="12.75">
      <c r="P35" t="s">
        <v>158</v>
      </c>
    </row>
    <row r="36" ht="12.75">
      <c r="P36" t="s">
        <v>159</v>
      </c>
    </row>
    <row r="37" ht="12.75">
      <c r="P37" t="s">
        <v>160</v>
      </c>
    </row>
    <row r="38" ht="12.75">
      <c r="P38" t="s">
        <v>161</v>
      </c>
    </row>
  </sheetData>
  <sheetProtection selectLockedCells="1" selectUnlockedCells="1"/>
  <hyperlinks>
    <hyperlink ref="N4" r:id="rId1" display="randoray@shaw.c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01"/>
  <sheetViews>
    <sheetView tabSelected="1" zoomScale="90" zoomScaleNormal="90" workbookViewId="0" topLeftCell="A27">
      <selection activeCell="C44" sqref="C44"/>
    </sheetView>
  </sheetViews>
  <sheetFormatPr defaultColWidth="11.421875" defaultRowHeight="12.75"/>
  <cols>
    <col min="1" max="1" width="7.28125" style="120" customWidth="1"/>
    <col min="2" max="2" width="3.7109375" style="121" customWidth="1"/>
    <col min="3" max="3" width="37.421875" style="122" customWidth="1"/>
    <col min="4" max="4" width="5.421875" style="120" customWidth="1"/>
    <col min="5" max="5" width="0.2890625" style="123" customWidth="1"/>
    <col min="6" max="6" width="7.7109375" style="120" customWidth="1"/>
    <col min="7" max="7" width="3.7109375" style="121" customWidth="1"/>
    <col min="8" max="8" width="38.7109375" style="122" customWidth="1"/>
    <col min="9" max="9" width="7.7109375" style="120" customWidth="1"/>
    <col min="10" max="10" width="11.421875" style="0" customWidth="1"/>
    <col min="11" max="11" width="3.7109375" style="0" customWidth="1"/>
    <col min="12" max="12" width="23.8515625" style="0" customWidth="1"/>
  </cols>
  <sheetData>
    <row r="1" spans="1:9" ht="39" customHeight="1">
      <c r="A1" s="124" t="s">
        <v>162</v>
      </c>
      <c r="B1" s="125" t="s">
        <v>163</v>
      </c>
      <c r="C1" s="126" t="s">
        <v>164</v>
      </c>
      <c r="D1" s="127" t="s">
        <v>165</v>
      </c>
      <c r="F1" s="124" t="s">
        <v>162</v>
      </c>
      <c r="G1" s="125" t="s">
        <v>163</v>
      </c>
      <c r="H1" s="126" t="s">
        <v>164</v>
      </c>
      <c r="I1" s="127" t="s">
        <v>165</v>
      </c>
    </row>
    <row r="2" spans="1:13" ht="18" customHeight="1">
      <c r="A2" s="128"/>
      <c r="B2" s="129"/>
      <c r="C2" s="129" t="s">
        <v>166</v>
      </c>
      <c r="D2" s="128"/>
      <c r="E2" s="130"/>
      <c r="F2" s="131">
        <f>A21+D21</f>
        <v>51.199999999999996</v>
      </c>
      <c r="G2" s="132" t="s">
        <v>167</v>
      </c>
      <c r="H2" s="133" t="s">
        <v>168</v>
      </c>
      <c r="I2" s="131">
        <v>9.5</v>
      </c>
      <c r="K2" s="134"/>
      <c r="L2" s="135"/>
      <c r="M2" s="136"/>
    </row>
    <row r="3" spans="1:16" ht="15">
      <c r="A3" s="128"/>
      <c r="B3" s="129"/>
      <c r="C3" s="129" t="s">
        <v>169</v>
      </c>
      <c r="D3" s="128"/>
      <c r="E3" s="130"/>
      <c r="F3" s="131">
        <f aca="true" t="shared" si="0" ref="F3:F8">F2+I2</f>
        <v>60.699999999999996</v>
      </c>
      <c r="G3" s="132" t="s">
        <v>167</v>
      </c>
      <c r="H3" s="133" t="s">
        <v>170</v>
      </c>
      <c r="I3" s="131">
        <v>2.1</v>
      </c>
      <c r="K3" s="134"/>
      <c r="L3" s="135"/>
      <c r="M3" s="136"/>
      <c r="N3" s="136"/>
      <c r="O3" s="134"/>
      <c r="P3" s="135"/>
    </row>
    <row r="4" spans="1:16" ht="15">
      <c r="A4" s="131"/>
      <c r="B4" s="132"/>
      <c r="C4" s="133"/>
      <c r="D4" s="131"/>
      <c r="E4" s="130"/>
      <c r="F4" s="131">
        <f t="shared" si="0"/>
        <v>62.8</v>
      </c>
      <c r="G4" s="132" t="s">
        <v>167</v>
      </c>
      <c r="H4" s="133" t="s">
        <v>171</v>
      </c>
      <c r="I4" s="131">
        <v>0.3</v>
      </c>
      <c r="N4" s="136"/>
      <c r="O4" s="134"/>
      <c r="P4" s="135"/>
    </row>
    <row r="5" spans="1:16" ht="15">
      <c r="A5" s="131">
        <v>0</v>
      </c>
      <c r="B5" s="132" t="s">
        <v>167</v>
      </c>
      <c r="C5" s="133" t="s">
        <v>172</v>
      </c>
      <c r="D5" s="131">
        <v>0</v>
      </c>
      <c r="E5" s="130"/>
      <c r="F5" s="131">
        <f t="shared" si="0"/>
        <v>63.099999999999994</v>
      </c>
      <c r="G5" s="132" t="s">
        <v>173</v>
      </c>
      <c r="H5" s="133" t="s">
        <v>174</v>
      </c>
      <c r="I5" s="131">
        <v>1.1</v>
      </c>
      <c r="N5" s="136"/>
      <c r="O5" s="134"/>
      <c r="P5" s="135"/>
    </row>
    <row r="6" spans="1:16" ht="15">
      <c r="A6" s="131">
        <f aca="true" t="shared" si="1" ref="A6:A13">A5+D5</f>
        <v>0</v>
      </c>
      <c r="B6" s="132" t="s">
        <v>173</v>
      </c>
      <c r="C6" s="133" t="s">
        <v>175</v>
      </c>
      <c r="D6" s="131">
        <v>0.2</v>
      </c>
      <c r="E6" s="130"/>
      <c r="F6" s="131">
        <f t="shared" si="0"/>
        <v>64.19999999999999</v>
      </c>
      <c r="G6" s="132" t="s">
        <v>173</v>
      </c>
      <c r="H6" s="130" t="s">
        <v>176</v>
      </c>
      <c r="I6" s="131">
        <v>0.1</v>
      </c>
      <c r="O6" s="134"/>
      <c r="P6" s="134"/>
    </row>
    <row r="7" spans="1:16" ht="15">
      <c r="A7" s="131">
        <f t="shared" si="1"/>
        <v>0.2</v>
      </c>
      <c r="B7" s="132" t="s">
        <v>173</v>
      </c>
      <c r="C7" s="133" t="s">
        <v>177</v>
      </c>
      <c r="D7" s="131">
        <v>1.4</v>
      </c>
      <c r="E7" s="130"/>
      <c r="F7" s="131">
        <f t="shared" si="0"/>
        <v>64.29999999999998</v>
      </c>
      <c r="G7" s="132" t="s">
        <v>178</v>
      </c>
      <c r="H7" s="133" t="s">
        <v>179</v>
      </c>
      <c r="I7" s="131">
        <v>1.9</v>
      </c>
      <c r="O7" s="134"/>
      <c r="P7" s="134"/>
    </row>
    <row r="8" spans="1:16" ht="15">
      <c r="A8" s="131">
        <f t="shared" si="1"/>
        <v>1.5999999999999999</v>
      </c>
      <c r="B8" s="132" t="s">
        <v>167</v>
      </c>
      <c r="C8" s="133" t="s">
        <v>180</v>
      </c>
      <c r="D8" s="131">
        <v>0.5</v>
      </c>
      <c r="E8" s="130"/>
      <c r="F8" s="131">
        <f t="shared" si="0"/>
        <v>66.19999999999999</v>
      </c>
      <c r="G8" s="132" t="s">
        <v>178</v>
      </c>
      <c r="H8" s="133" t="s">
        <v>181</v>
      </c>
      <c r="I8" s="131">
        <v>0</v>
      </c>
      <c r="O8" s="134"/>
      <c r="P8" s="135"/>
    </row>
    <row r="9" spans="1:16" ht="15">
      <c r="A9" s="131">
        <f t="shared" si="1"/>
        <v>2.0999999999999996</v>
      </c>
      <c r="B9" s="132" t="s">
        <v>173</v>
      </c>
      <c r="C9" s="133" t="s">
        <v>182</v>
      </c>
      <c r="D9" s="131">
        <v>6.1</v>
      </c>
      <c r="E9" s="130"/>
      <c r="F9" s="131">
        <f aca="true" t="shared" si="2" ref="F9:F14">F8+I8</f>
        <v>66.19999999999999</v>
      </c>
      <c r="G9" s="132" t="s">
        <v>173</v>
      </c>
      <c r="H9" s="133" t="s">
        <v>183</v>
      </c>
      <c r="I9" s="131">
        <v>3.5</v>
      </c>
      <c r="O9" s="134"/>
      <c r="P9" s="135"/>
    </row>
    <row r="10" spans="1:16" ht="15">
      <c r="A10" s="131">
        <f t="shared" si="1"/>
        <v>8.2</v>
      </c>
      <c r="B10" s="132" t="s">
        <v>167</v>
      </c>
      <c r="C10" s="133" t="s">
        <v>184</v>
      </c>
      <c r="D10" s="131">
        <v>4.6</v>
      </c>
      <c r="E10" s="130"/>
      <c r="F10" s="131">
        <f t="shared" si="2"/>
        <v>69.69999999999999</v>
      </c>
      <c r="G10" s="132" t="s">
        <v>178</v>
      </c>
      <c r="H10" s="133" t="s">
        <v>185</v>
      </c>
      <c r="I10" s="131">
        <v>4.9</v>
      </c>
      <c r="O10" s="134"/>
      <c r="P10" s="135"/>
    </row>
    <row r="11" spans="1:16" ht="15">
      <c r="A11" s="131">
        <f t="shared" si="1"/>
        <v>12.799999999999999</v>
      </c>
      <c r="B11" s="132" t="s">
        <v>186</v>
      </c>
      <c r="C11" s="133" t="s">
        <v>187</v>
      </c>
      <c r="D11" s="131">
        <v>1.5</v>
      </c>
      <c r="E11" s="130"/>
      <c r="F11" s="131">
        <f t="shared" si="2"/>
        <v>74.6</v>
      </c>
      <c r="G11" s="132" t="s">
        <v>167</v>
      </c>
      <c r="H11" s="133" t="s">
        <v>188</v>
      </c>
      <c r="I11" s="131">
        <v>0.6</v>
      </c>
      <c r="O11" s="134"/>
      <c r="P11" s="135"/>
    </row>
    <row r="12" spans="1:16" ht="15">
      <c r="A12" s="131">
        <f t="shared" si="1"/>
        <v>14.299999999999999</v>
      </c>
      <c r="B12" s="132" t="s">
        <v>167</v>
      </c>
      <c r="C12" s="133" t="s">
        <v>189</v>
      </c>
      <c r="D12" s="131">
        <v>5.1</v>
      </c>
      <c r="E12" s="130"/>
      <c r="F12" s="131">
        <f t="shared" si="2"/>
        <v>75.19999999999999</v>
      </c>
      <c r="G12" s="132" t="s">
        <v>190</v>
      </c>
      <c r="H12" s="133" t="s">
        <v>191</v>
      </c>
      <c r="I12" s="131">
        <v>9.9</v>
      </c>
      <c r="O12" s="134"/>
      <c r="P12" s="135"/>
    </row>
    <row r="13" spans="1:16" ht="15">
      <c r="A13" s="131">
        <f t="shared" si="1"/>
        <v>19.4</v>
      </c>
      <c r="B13" s="132" t="s">
        <v>178</v>
      </c>
      <c r="C13" s="133" t="s">
        <v>192</v>
      </c>
      <c r="D13" s="131">
        <v>5.3</v>
      </c>
      <c r="E13" s="130"/>
      <c r="F13" s="131">
        <f t="shared" si="2"/>
        <v>85.1</v>
      </c>
      <c r="G13" s="132" t="s">
        <v>167</v>
      </c>
      <c r="H13" s="133" t="s">
        <v>193</v>
      </c>
      <c r="I13" s="131">
        <v>4.1</v>
      </c>
      <c r="O13" s="134"/>
      <c r="P13" s="135"/>
    </row>
    <row r="14" spans="1:16" ht="15">
      <c r="A14" s="131">
        <f aca="true" t="shared" si="3" ref="A14:A19">A13+D13</f>
        <v>24.7</v>
      </c>
      <c r="B14" s="132" t="s">
        <v>167</v>
      </c>
      <c r="C14" s="133" t="s">
        <v>194</v>
      </c>
      <c r="D14" s="131">
        <v>6.1</v>
      </c>
      <c r="E14" s="130"/>
      <c r="F14" s="131">
        <f t="shared" si="2"/>
        <v>89.19999999999999</v>
      </c>
      <c r="G14" s="132" t="s">
        <v>178</v>
      </c>
      <c r="H14" s="133" t="s">
        <v>195</v>
      </c>
      <c r="I14" s="131">
        <v>6.5</v>
      </c>
      <c r="O14" s="134"/>
      <c r="P14" s="135"/>
    </row>
    <row r="15" spans="1:16" ht="15">
      <c r="A15" s="131">
        <f t="shared" si="3"/>
        <v>30.799999999999997</v>
      </c>
      <c r="B15" s="132" t="s">
        <v>173</v>
      </c>
      <c r="C15" s="133" t="s">
        <v>196</v>
      </c>
      <c r="D15" s="131">
        <v>4.6</v>
      </c>
      <c r="E15" s="130"/>
      <c r="F15" s="131">
        <f>+F14+I14</f>
        <v>95.69999999999999</v>
      </c>
      <c r="G15" s="132" t="s">
        <v>178</v>
      </c>
      <c r="H15" s="133" t="s">
        <v>197</v>
      </c>
      <c r="I15" s="131">
        <v>1.2</v>
      </c>
      <c r="O15" s="134"/>
      <c r="P15" s="135"/>
    </row>
    <row r="16" spans="1:16" ht="15">
      <c r="A16" s="131">
        <f t="shared" si="3"/>
        <v>35.4</v>
      </c>
      <c r="B16" s="132" t="s">
        <v>167</v>
      </c>
      <c r="C16" s="133" t="s">
        <v>198</v>
      </c>
      <c r="D16" s="131">
        <v>5.9</v>
      </c>
      <c r="E16" s="130"/>
      <c r="F16" s="131">
        <f>+F15+I15</f>
        <v>96.89999999999999</v>
      </c>
      <c r="G16" s="132" t="s">
        <v>173</v>
      </c>
      <c r="H16" s="133" t="s">
        <v>199</v>
      </c>
      <c r="I16" s="131">
        <v>0.3</v>
      </c>
      <c r="O16" s="11"/>
      <c r="P16" s="31"/>
    </row>
    <row r="17" spans="1:16" ht="15">
      <c r="A17" s="131">
        <f t="shared" si="3"/>
        <v>41.3</v>
      </c>
      <c r="B17" s="132" t="s">
        <v>167</v>
      </c>
      <c r="C17" s="133" t="s">
        <v>200</v>
      </c>
      <c r="D17" s="131">
        <v>2.4</v>
      </c>
      <c r="E17" s="130"/>
      <c r="F17" s="131">
        <f aca="true" t="shared" si="4" ref="F17:F23">F16+I16</f>
        <v>97.19999999999999</v>
      </c>
      <c r="G17" s="132" t="s">
        <v>178</v>
      </c>
      <c r="H17" s="133" t="s">
        <v>201</v>
      </c>
      <c r="I17" s="131">
        <v>0.3</v>
      </c>
      <c r="O17" s="134"/>
      <c r="P17" s="135"/>
    </row>
    <row r="18" spans="1:16" ht="15">
      <c r="A18" s="131">
        <f t="shared" si="3"/>
        <v>43.699999999999996</v>
      </c>
      <c r="B18" s="132" t="s">
        <v>178</v>
      </c>
      <c r="C18" s="133" t="s">
        <v>202</v>
      </c>
      <c r="D18" s="131">
        <v>6.5</v>
      </c>
      <c r="E18" s="130"/>
      <c r="F18" s="131">
        <f t="shared" si="4"/>
        <v>97.49999999999999</v>
      </c>
      <c r="G18" s="132" t="s">
        <v>167</v>
      </c>
      <c r="H18" s="133" t="s">
        <v>203</v>
      </c>
      <c r="I18" s="131">
        <v>0.1</v>
      </c>
      <c r="O18" s="134"/>
      <c r="P18" s="135"/>
    </row>
    <row r="19" spans="1:16" ht="15">
      <c r="A19" s="131">
        <f t="shared" si="3"/>
        <v>50.199999999999996</v>
      </c>
      <c r="B19" s="132" t="s">
        <v>178</v>
      </c>
      <c r="C19" s="133" t="s">
        <v>204</v>
      </c>
      <c r="D19" s="131">
        <v>1</v>
      </c>
      <c r="E19" s="130"/>
      <c r="F19" s="131">
        <f t="shared" si="4"/>
        <v>97.59999999999998</v>
      </c>
      <c r="G19" s="132" t="s">
        <v>173</v>
      </c>
      <c r="H19" s="133" t="s">
        <v>205</v>
      </c>
      <c r="I19" s="131">
        <v>0.5</v>
      </c>
      <c r="O19" s="134"/>
      <c r="P19" s="135"/>
    </row>
    <row r="20" spans="1:16" ht="15">
      <c r="A20" s="131"/>
      <c r="B20" s="132"/>
      <c r="C20" s="133"/>
      <c r="D20" s="131"/>
      <c r="E20" s="130"/>
      <c r="F20" s="131">
        <f t="shared" si="4"/>
        <v>98.09999999999998</v>
      </c>
      <c r="G20" s="132" t="s">
        <v>178</v>
      </c>
      <c r="H20" s="133" t="s">
        <v>206</v>
      </c>
      <c r="I20" s="131">
        <v>0.5</v>
      </c>
      <c r="O20" s="134"/>
      <c r="P20" s="135"/>
    </row>
    <row r="21" spans="1:16" ht="15">
      <c r="A21" s="128">
        <f>A19+D19</f>
        <v>51.199999999999996</v>
      </c>
      <c r="B21" s="129" t="s">
        <v>167</v>
      </c>
      <c r="C21" s="129" t="s">
        <v>207</v>
      </c>
      <c r="D21" s="131"/>
      <c r="E21" s="130"/>
      <c r="F21" s="131">
        <f t="shared" si="4"/>
        <v>98.59999999999998</v>
      </c>
      <c r="G21" s="132" t="s">
        <v>173</v>
      </c>
      <c r="H21" s="133" t="s">
        <v>208</v>
      </c>
      <c r="I21" s="131">
        <v>0.4</v>
      </c>
      <c r="O21" s="134"/>
      <c r="P21" s="135"/>
    </row>
    <row r="22" spans="1:16" ht="15">
      <c r="A22" s="131"/>
      <c r="B22" s="132"/>
      <c r="C22" s="129" t="s">
        <v>209</v>
      </c>
      <c r="D22" s="131"/>
      <c r="E22" s="130"/>
      <c r="F22" s="131">
        <f t="shared" si="4"/>
        <v>98.99999999999999</v>
      </c>
      <c r="G22" s="132" t="s">
        <v>167</v>
      </c>
      <c r="H22" s="133" t="s">
        <v>210</v>
      </c>
      <c r="I22" s="131">
        <v>0.7</v>
      </c>
      <c r="O22" s="134"/>
      <c r="P22" s="135"/>
    </row>
    <row r="23" spans="1:16" ht="15">
      <c r="A23" s="131"/>
      <c r="B23" s="132"/>
      <c r="C23" s="129" t="s">
        <v>27</v>
      </c>
      <c r="D23" s="131"/>
      <c r="E23" s="130"/>
      <c r="F23" s="131">
        <f t="shared" si="4"/>
        <v>99.69999999999999</v>
      </c>
      <c r="G23" s="132" t="s">
        <v>167</v>
      </c>
      <c r="H23" s="133" t="s">
        <v>211</v>
      </c>
      <c r="I23" s="131">
        <v>0.1</v>
      </c>
      <c r="N23" s="136"/>
      <c r="O23" s="134"/>
      <c r="P23" s="135"/>
    </row>
    <row r="24" spans="1:16" ht="4.5" customHeight="1">
      <c r="A24" s="131"/>
      <c r="B24" s="132"/>
      <c r="C24" s="133"/>
      <c r="D24" s="131"/>
      <c r="E24" s="130"/>
      <c r="F24" s="131"/>
      <c r="G24" s="132"/>
      <c r="H24" s="133"/>
      <c r="I24" s="131"/>
      <c r="N24" s="136"/>
      <c r="O24" s="134"/>
      <c r="P24" s="135"/>
    </row>
    <row r="25" spans="1:9" ht="42" customHeight="1">
      <c r="A25" s="137" t="s">
        <v>162</v>
      </c>
      <c r="B25" s="138" t="s">
        <v>163</v>
      </c>
      <c r="C25" s="139" t="s">
        <v>164</v>
      </c>
      <c r="D25" s="140" t="s">
        <v>165</v>
      </c>
      <c r="E25" s="130"/>
      <c r="F25" s="137" t="s">
        <v>162</v>
      </c>
      <c r="G25" s="138" t="s">
        <v>163</v>
      </c>
      <c r="H25" s="139" t="s">
        <v>164</v>
      </c>
      <c r="I25" s="140" t="s">
        <v>165</v>
      </c>
    </row>
    <row r="26" spans="1:99" s="144" customFormat="1" ht="15">
      <c r="A26" s="131">
        <f>F23+I23</f>
        <v>99.79999999999998</v>
      </c>
      <c r="B26" s="132"/>
      <c r="C26" s="133" t="s">
        <v>212</v>
      </c>
      <c r="D26" s="131"/>
      <c r="E26" s="130"/>
      <c r="F26" s="131">
        <f>A43</f>
        <v>134.79999999999998</v>
      </c>
      <c r="G26" s="141" t="s">
        <v>167</v>
      </c>
      <c r="H26" s="142" t="s">
        <v>213</v>
      </c>
      <c r="I26" s="143">
        <v>3.3</v>
      </c>
      <c r="J26"/>
      <c r="K26" s="31"/>
      <c r="L26" s="31"/>
      <c r="M26" s="31"/>
      <c r="N26"/>
      <c r="O26"/>
      <c r="P26" s="134"/>
      <c r="Q26" s="135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144" customFormat="1" ht="15">
      <c r="A27" s="131">
        <f>A26+D26</f>
        <v>99.79999999999998</v>
      </c>
      <c r="B27" s="132" t="s">
        <v>178</v>
      </c>
      <c r="C27" s="133" t="s">
        <v>214</v>
      </c>
      <c r="D27" s="131">
        <v>0.3</v>
      </c>
      <c r="E27" s="130"/>
      <c r="F27" s="131">
        <f aca="true" t="shared" si="5" ref="F27:F47">F26+I26</f>
        <v>138.1</v>
      </c>
      <c r="G27" s="141" t="s">
        <v>178</v>
      </c>
      <c r="H27" s="142" t="s">
        <v>215</v>
      </c>
      <c r="I27" s="143">
        <v>0.4</v>
      </c>
      <c r="J27"/>
      <c r="K27" s="31"/>
      <c r="L27" s="31"/>
      <c r="M27" s="31"/>
      <c r="N27"/>
      <c r="O27"/>
      <c r="P27" s="134"/>
      <c r="Q27" s="135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144" customFormat="1" ht="15">
      <c r="A28" s="131">
        <f>A27+D27</f>
        <v>100.09999999999998</v>
      </c>
      <c r="B28" s="132" t="s">
        <v>173</v>
      </c>
      <c r="C28" s="133" t="s">
        <v>216</v>
      </c>
      <c r="D28" s="131">
        <v>1.1</v>
      </c>
      <c r="E28" s="130"/>
      <c r="F28" s="131">
        <f t="shared" si="5"/>
        <v>138.5</v>
      </c>
      <c r="G28" s="132" t="s">
        <v>178</v>
      </c>
      <c r="H28" s="133" t="s">
        <v>217</v>
      </c>
      <c r="I28" s="131">
        <v>1.7</v>
      </c>
      <c r="J28"/>
      <c r="K28" s="31"/>
      <c r="L28" s="31"/>
      <c r="M28" s="31"/>
      <c r="N28"/>
      <c r="O28"/>
      <c r="P28" s="134"/>
      <c r="Q28" s="135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144" customFormat="1" ht="15">
      <c r="A29" s="131">
        <f>A28+D28</f>
        <v>101.19999999999997</v>
      </c>
      <c r="B29" s="132" t="s">
        <v>167</v>
      </c>
      <c r="C29" s="133" t="s">
        <v>218</v>
      </c>
      <c r="D29" s="131">
        <v>2</v>
      </c>
      <c r="E29" s="130"/>
      <c r="F29" s="131">
        <f t="shared" si="5"/>
        <v>140.2</v>
      </c>
      <c r="G29" s="132" t="s">
        <v>167</v>
      </c>
      <c r="H29" s="133" t="s">
        <v>219</v>
      </c>
      <c r="I29" s="131">
        <v>6.6</v>
      </c>
      <c r="J29"/>
      <c r="K29" s="31"/>
      <c r="L29" s="31"/>
      <c r="M29" s="31"/>
      <c r="N29"/>
      <c r="O29"/>
      <c r="P29" s="134"/>
      <c r="Q29" s="31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144" customFormat="1" ht="15">
      <c r="A30" s="131">
        <f aca="true" t="shared" si="6" ref="A30:A40">A29+D29</f>
        <v>103.19999999999997</v>
      </c>
      <c r="B30" s="132" t="s">
        <v>167</v>
      </c>
      <c r="C30" s="133" t="s">
        <v>220</v>
      </c>
      <c r="D30" s="131">
        <v>8.8</v>
      </c>
      <c r="E30" s="130"/>
      <c r="F30" s="143">
        <f t="shared" si="5"/>
        <v>146.79999999999998</v>
      </c>
      <c r="G30" s="132" t="s">
        <v>173</v>
      </c>
      <c r="H30" s="133" t="s">
        <v>221</v>
      </c>
      <c r="I30" s="131">
        <v>0.1</v>
      </c>
      <c r="J30"/>
      <c r="K30" s="31"/>
      <c r="L30" s="31"/>
      <c r="M30" s="31"/>
      <c r="N30"/>
      <c r="O30"/>
      <c r="P30" s="134"/>
      <c r="Q30" s="13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144" customFormat="1" ht="15">
      <c r="A31" s="131">
        <f t="shared" si="6"/>
        <v>111.99999999999997</v>
      </c>
      <c r="B31" s="132" t="s">
        <v>167</v>
      </c>
      <c r="C31" s="133" t="s">
        <v>222</v>
      </c>
      <c r="D31" s="131">
        <v>0.8</v>
      </c>
      <c r="E31" s="130"/>
      <c r="F31" s="143">
        <f t="shared" si="5"/>
        <v>146.89999999999998</v>
      </c>
      <c r="G31" s="132" t="s">
        <v>167</v>
      </c>
      <c r="H31" s="133" t="s">
        <v>223</v>
      </c>
      <c r="I31" s="131">
        <v>2.3</v>
      </c>
      <c r="J31"/>
      <c r="K31" s="31"/>
      <c r="L31" s="31"/>
      <c r="M31" s="31"/>
      <c r="N31"/>
      <c r="O31"/>
      <c r="P31" s="134"/>
      <c r="Q31" s="134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s="144" customFormat="1" ht="15">
      <c r="A32" s="131">
        <f t="shared" si="6"/>
        <v>112.79999999999997</v>
      </c>
      <c r="B32" s="132" t="s">
        <v>173</v>
      </c>
      <c r="C32" s="133" t="s">
        <v>224</v>
      </c>
      <c r="D32" s="131">
        <v>0.4</v>
      </c>
      <c r="E32" s="130"/>
      <c r="F32" s="143">
        <f t="shared" si="5"/>
        <v>149.2</v>
      </c>
      <c r="G32" s="132" t="s">
        <v>167</v>
      </c>
      <c r="H32" s="133" t="s">
        <v>225</v>
      </c>
      <c r="I32" s="131">
        <v>1.2</v>
      </c>
      <c r="J32" s="145"/>
      <c r="K32" s="31"/>
      <c r="L32" s="31"/>
      <c r="M32" s="31"/>
      <c r="N32"/>
      <c r="O32"/>
      <c r="P32" s="31"/>
      <c r="Q32" s="134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144" customFormat="1" ht="15">
      <c r="A33" s="131">
        <f t="shared" si="6"/>
        <v>113.19999999999997</v>
      </c>
      <c r="B33" s="132" t="s">
        <v>178</v>
      </c>
      <c r="C33" s="133" t="s">
        <v>226</v>
      </c>
      <c r="D33" s="131">
        <v>1.4</v>
      </c>
      <c r="E33" s="130"/>
      <c r="F33" s="131">
        <f t="shared" si="5"/>
        <v>150.39999999999998</v>
      </c>
      <c r="G33" s="132" t="s">
        <v>173</v>
      </c>
      <c r="H33" s="133" t="s">
        <v>227</v>
      </c>
      <c r="I33" s="131">
        <v>0.1</v>
      </c>
      <c r="J33"/>
      <c r="K33" s="31"/>
      <c r="L33" s="31"/>
      <c r="M33" s="3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144" customFormat="1" ht="15">
      <c r="A34" s="131">
        <f t="shared" si="6"/>
        <v>114.59999999999998</v>
      </c>
      <c r="B34" s="132" t="s">
        <v>167</v>
      </c>
      <c r="C34" s="133" t="s">
        <v>228</v>
      </c>
      <c r="D34" s="131">
        <v>2.2</v>
      </c>
      <c r="E34" s="130"/>
      <c r="F34" s="131">
        <f t="shared" si="5"/>
        <v>150.49999999999997</v>
      </c>
      <c r="G34" s="129"/>
      <c r="H34" s="133" t="s">
        <v>229</v>
      </c>
      <c r="I34" s="131"/>
      <c r="J34"/>
      <c r="K34" s="31"/>
      <c r="L34" s="31"/>
      <c r="M34" s="31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144" customFormat="1" ht="15">
      <c r="A35" s="131">
        <f t="shared" si="6"/>
        <v>116.79999999999998</v>
      </c>
      <c r="B35" s="132" t="s">
        <v>167</v>
      </c>
      <c r="C35" s="133" t="s">
        <v>230</v>
      </c>
      <c r="D35" s="131">
        <v>3.7</v>
      </c>
      <c r="E35" s="130"/>
      <c r="F35" s="131">
        <f t="shared" si="5"/>
        <v>150.49999999999997</v>
      </c>
      <c r="G35" s="132" t="s">
        <v>178</v>
      </c>
      <c r="H35" s="133" t="s">
        <v>231</v>
      </c>
      <c r="I35" s="131">
        <v>0.4</v>
      </c>
      <c r="J35"/>
      <c r="K35" s="31"/>
      <c r="L35" s="31"/>
      <c r="M35" s="31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144" customFormat="1" ht="15">
      <c r="A36" s="131">
        <f t="shared" si="6"/>
        <v>120.49999999999999</v>
      </c>
      <c r="B36" s="132" t="s">
        <v>167</v>
      </c>
      <c r="C36" s="133" t="s">
        <v>232</v>
      </c>
      <c r="D36" s="131">
        <v>5.9</v>
      </c>
      <c r="E36" s="130"/>
      <c r="F36" s="131">
        <f t="shared" si="5"/>
        <v>150.89999999999998</v>
      </c>
      <c r="G36" s="132" t="s">
        <v>167</v>
      </c>
      <c r="H36" s="133" t="s">
        <v>233</v>
      </c>
      <c r="I36" s="131">
        <v>0.3</v>
      </c>
      <c r="J36"/>
      <c r="K36" s="31"/>
      <c r="L36" s="31"/>
      <c r="M36" s="31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144" customFormat="1" ht="15">
      <c r="A37" s="131">
        <f t="shared" si="6"/>
        <v>126.39999999999999</v>
      </c>
      <c r="B37" s="132" t="s">
        <v>167</v>
      </c>
      <c r="C37" s="133" t="s">
        <v>234</v>
      </c>
      <c r="D37" s="131">
        <v>1.2</v>
      </c>
      <c r="E37" s="130"/>
      <c r="F37" s="131">
        <f t="shared" si="5"/>
        <v>151.2</v>
      </c>
      <c r="G37" s="132" t="s">
        <v>173</v>
      </c>
      <c r="H37" s="133" t="s">
        <v>235</v>
      </c>
      <c r="I37" s="131">
        <v>0.4</v>
      </c>
      <c r="J37"/>
      <c r="K37" s="31"/>
      <c r="L37" s="31"/>
      <c r="M37" s="31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144" customFormat="1" ht="15">
      <c r="A38" s="131">
        <f t="shared" si="6"/>
        <v>127.6</v>
      </c>
      <c r="B38" s="132" t="s">
        <v>167</v>
      </c>
      <c r="C38" s="133" t="s">
        <v>236</v>
      </c>
      <c r="D38" s="131">
        <v>2.2</v>
      </c>
      <c r="E38" s="130"/>
      <c r="F38" s="131">
        <f t="shared" si="5"/>
        <v>151.6</v>
      </c>
      <c r="G38" s="132" t="s">
        <v>167</v>
      </c>
      <c r="H38" s="133" t="s">
        <v>237</v>
      </c>
      <c r="I38" s="131">
        <v>1.1</v>
      </c>
      <c r="J38"/>
      <c r="K38" s="31"/>
      <c r="L38" s="31"/>
      <c r="M38" s="3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144" customFormat="1" ht="15">
      <c r="A39" s="131">
        <f t="shared" si="6"/>
        <v>129.79999999999998</v>
      </c>
      <c r="B39" s="141" t="s">
        <v>178</v>
      </c>
      <c r="C39" s="142" t="s">
        <v>238</v>
      </c>
      <c r="D39" s="143">
        <v>3.7</v>
      </c>
      <c r="E39" s="130"/>
      <c r="F39" s="131">
        <f t="shared" si="5"/>
        <v>152.7</v>
      </c>
      <c r="G39" s="132" t="s">
        <v>173</v>
      </c>
      <c r="H39" s="133" t="s">
        <v>239</v>
      </c>
      <c r="I39" s="131">
        <v>1.6</v>
      </c>
      <c r="J39"/>
      <c r="K39" s="31"/>
      <c r="L39" s="31"/>
      <c r="M39" s="31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144" customFormat="1" ht="15">
      <c r="A40" s="131">
        <f t="shared" si="6"/>
        <v>133.49999999999997</v>
      </c>
      <c r="B40" s="132" t="s">
        <v>178</v>
      </c>
      <c r="C40" s="133" t="s">
        <v>240</v>
      </c>
      <c r="D40" s="143">
        <v>1.3</v>
      </c>
      <c r="E40" s="130"/>
      <c r="F40" s="131">
        <f t="shared" si="5"/>
        <v>154.29999999999998</v>
      </c>
      <c r="G40" s="132" t="s">
        <v>173</v>
      </c>
      <c r="H40" s="133" t="s">
        <v>241</v>
      </c>
      <c r="I40" s="131">
        <v>0.7</v>
      </c>
      <c r="J40"/>
      <c r="K40" s="31"/>
      <c r="L40" s="31"/>
      <c r="M40" s="31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144" customFormat="1" ht="15">
      <c r="A41" s="130"/>
      <c r="B41" s="130"/>
      <c r="C41" s="130"/>
      <c r="D41" s="130"/>
      <c r="E41" s="130"/>
      <c r="F41" s="131">
        <f t="shared" si="5"/>
        <v>154.99999999999997</v>
      </c>
      <c r="G41" s="132" t="s">
        <v>167</v>
      </c>
      <c r="H41" s="133" t="s">
        <v>242</v>
      </c>
      <c r="I41" s="131">
        <v>1.6</v>
      </c>
      <c r="J41"/>
      <c r="K41" s="31"/>
      <c r="L41" s="31"/>
      <c r="M41" s="3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144" customFormat="1" ht="15">
      <c r="A42" s="130"/>
      <c r="B42" s="130"/>
      <c r="C42" s="130"/>
      <c r="D42" s="130"/>
      <c r="E42" s="130"/>
      <c r="F42" s="131">
        <f t="shared" si="5"/>
        <v>156.59999999999997</v>
      </c>
      <c r="G42" s="132" t="s">
        <v>186</v>
      </c>
      <c r="H42" s="133" t="s">
        <v>243</v>
      </c>
      <c r="I42" s="131">
        <v>0.8</v>
      </c>
      <c r="J42"/>
      <c r="K42" s="31"/>
      <c r="L42" s="31"/>
      <c r="M42" s="31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144" customFormat="1" ht="15">
      <c r="A43" s="128">
        <f>A40+D40</f>
        <v>134.79999999999998</v>
      </c>
      <c r="B43" s="146" t="s">
        <v>167</v>
      </c>
      <c r="C43" s="146" t="s">
        <v>244</v>
      </c>
      <c r="D43" s="130"/>
      <c r="E43" s="130"/>
      <c r="F43" s="131">
        <f t="shared" si="5"/>
        <v>157.39999999999998</v>
      </c>
      <c r="G43" s="132" t="s">
        <v>167</v>
      </c>
      <c r="H43" s="133" t="s">
        <v>245</v>
      </c>
      <c r="I43" s="131">
        <v>8.2</v>
      </c>
      <c r="J43"/>
      <c r="K43" s="31"/>
      <c r="L43" s="31"/>
      <c r="M43" s="31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144" customFormat="1" ht="15">
      <c r="A44" s="130"/>
      <c r="B44" s="141"/>
      <c r="C44" s="147" t="s">
        <v>246</v>
      </c>
      <c r="D44" s="143"/>
      <c r="E44" s="130"/>
      <c r="F44" s="131">
        <f t="shared" si="5"/>
        <v>165.59999999999997</v>
      </c>
      <c r="G44" s="132" t="s">
        <v>167</v>
      </c>
      <c r="H44" s="133" t="s">
        <v>247</v>
      </c>
      <c r="I44" s="131">
        <v>1.9</v>
      </c>
      <c r="J44"/>
      <c r="K44" s="31"/>
      <c r="L44" s="31"/>
      <c r="M44" s="31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144" customFormat="1" ht="15">
      <c r="A45" s="131"/>
      <c r="B45" s="132"/>
      <c r="C45" s="147"/>
      <c r="D45" s="131"/>
      <c r="E45" s="130"/>
      <c r="F45" s="131">
        <f t="shared" si="5"/>
        <v>167.49999999999997</v>
      </c>
      <c r="G45" s="132" t="s">
        <v>173</v>
      </c>
      <c r="H45" s="133" t="s">
        <v>248</v>
      </c>
      <c r="I45" s="131">
        <v>0.9</v>
      </c>
      <c r="J45"/>
      <c r="K45" s="31"/>
      <c r="L45" s="31"/>
      <c r="M45" s="31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144" customFormat="1" ht="15">
      <c r="A46" s="130"/>
      <c r="B46" s="130"/>
      <c r="C46" s="130"/>
      <c r="D46" s="130"/>
      <c r="E46" s="130"/>
      <c r="F46" s="131">
        <f t="shared" si="5"/>
        <v>168.39999999999998</v>
      </c>
      <c r="G46" s="132" t="s">
        <v>167</v>
      </c>
      <c r="H46" s="133" t="s">
        <v>249</v>
      </c>
      <c r="I46" s="131">
        <v>4.8</v>
      </c>
      <c r="J46"/>
      <c r="K46" s="31"/>
      <c r="L46" s="31"/>
      <c r="M46" s="3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" ht="15">
      <c r="A47" s="131"/>
      <c r="B47" s="132"/>
      <c r="C47" s="133"/>
      <c r="D47" s="131"/>
      <c r="E47" s="130"/>
      <c r="F47" s="131">
        <f t="shared" si="5"/>
        <v>173.2</v>
      </c>
      <c r="G47" s="132" t="s">
        <v>173</v>
      </c>
      <c r="H47" s="133" t="s">
        <v>250</v>
      </c>
      <c r="I47" s="131">
        <v>4.7</v>
      </c>
    </row>
    <row r="48" spans="1:9" ht="3.75" customHeight="1">
      <c r="A48" s="131"/>
      <c r="B48" s="132"/>
      <c r="C48" s="133"/>
      <c r="D48" s="131"/>
      <c r="E48" s="130"/>
      <c r="F48" s="131"/>
      <c r="G48" s="132"/>
      <c r="H48" s="133"/>
      <c r="I48" s="131"/>
    </row>
    <row r="49" spans="1:9" ht="39.75" customHeight="1">
      <c r="A49" s="137" t="s">
        <v>162</v>
      </c>
      <c r="B49" s="138" t="s">
        <v>163</v>
      </c>
      <c r="C49" s="139" t="s">
        <v>164</v>
      </c>
      <c r="D49" s="140" t="s">
        <v>165</v>
      </c>
      <c r="E49" s="130"/>
      <c r="F49" s="137" t="s">
        <v>162</v>
      </c>
      <c r="G49" s="138" t="s">
        <v>163</v>
      </c>
      <c r="H49" s="139" t="s">
        <v>164</v>
      </c>
      <c r="I49" s="140" t="s">
        <v>165</v>
      </c>
    </row>
    <row r="50" spans="1:9" ht="15">
      <c r="A50" s="131">
        <f>F47+I47</f>
        <v>177.89999999999998</v>
      </c>
      <c r="B50" s="132" t="s">
        <v>173</v>
      </c>
      <c r="C50" s="133" t="s">
        <v>251</v>
      </c>
      <c r="D50" s="131">
        <v>39.7</v>
      </c>
      <c r="E50" s="130"/>
      <c r="F50" s="131">
        <f>A71+D71</f>
        <v>290.59999999999997</v>
      </c>
      <c r="G50" s="132" t="s">
        <v>167</v>
      </c>
      <c r="H50" s="133" t="s">
        <v>252</v>
      </c>
      <c r="I50" s="131">
        <v>0.1</v>
      </c>
    </row>
    <row r="51" spans="1:9" ht="15">
      <c r="A51" s="131"/>
      <c r="B51" s="132"/>
      <c r="C51" s="133"/>
      <c r="D51" s="131"/>
      <c r="E51" s="130"/>
      <c r="F51" s="131">
        <f>F50+I50</f>
        <v>290.7</v>
      </c>
      <c r="G51" s="132" t="s">
        <v>186</v>
      </c>
      <c r="H51" s="133" t="s">
        <v>253</v>
      </c>
      <c r="I51" s="131">
        <v>0.7</v>
      </c>
    </row>
    <row r="52" spans="1:9" ht="15">
      <c r="A52" s="128">
        <f>A50+D50</f>
        <v>217.59999999999997</v>
      </c>
      <c r="B52" s="132" t="s">
        <v>167</v>
      </c>
      <c r="C52" s="129" t="s">
        <v>254</v>
      </c>
      <c r="D52" s="131">
        <v>0.1</v>
      </c>
      <c r="E52" s="130"/>
      <c r="F52" s="131">
        <f>F51+I51</f>
        <v>291.4</v>
      </c>
      <c r="G52" s="132" t="s">
        <v>178</v>
      </c>
      <c r="H52" s="133" t="s">
        <v>255</v>
      </c>
      <c r="I52" s="131">
        <v>1.1</v>
      </c>
    </row>
    <row r="53" spans="1:9" ht="15">
      <c r="A53" s="131"/>
      <c r="B53" s="132"/>
      <c r="C53" s="129" t="s">
        <v>35</v>
      </c>
      <c r="D53" s="131"/>
      <c r="E53" s="130"/>
      <c r="F53" s="131">
        <f>F52+I52</f>
        <v>292.5</v>
      </c>
      <c r="G53" s="132" t="s">
        <v>173</v>
      </c>
      <c r="H53" s="133" t="s">
        <v>256</v>
      </c>
      <c r="I53" s="131">
        <v>0.1</v>
      </c>
    </row>
    <row r="54" spans="1:9" ht="15">
      <c r="A54" s="131"/>
      <c r="B54" s="132"/>
      <c r="C54" s="133"/>
      <c r="D54" s="131"/>
      <c r="E54" s="130"/>
      <c r="F54" s="131">
        <f>F53+I53</f>
        <v>292.6</v>
      </c>
      <c r="G54" s="132" t="s">
        <v>167</v>
      </c>
      <c r="H54" s="133" t="s">
        <v>257</v>
      </c>
      <c r="I54" s="131">
        <v>2.7</v>
      </c>
    </row>
    <row r="55" spans="1:9" ht="15">
      <c r="A55" s="131">
        <f>A52+D52</f>
        <v>217.69999999999996</v>
      </c>
      <c r="B55" s="132" t="s">
        <v>173</v>
      </c>
      <c r="C55" s="133" t="s">
        <v>258</v>
      </c>
      <c r="D55" s="131">
        <v>52</v>
      </c>
      <c r="E55" s="130"/>
      <c r="F55" s="131"/>
      <c r="G55" s="132"/>
      <c r="H55" s="133" t="s">
        <v>259</v>
      </c>
      <c r="I55" s="131"/>
    </row>
    <row r="56" spans="1:9" ht="15">
      <c r="A56" s="131"/>
      <c r="B56" s="132"/>
      <c r="C56" s="133"/>
      <c r="D56" s="131"/>
      <c r="E56" s="130"/>
      <c r="F56" s="131">
        <f>F54+I54</f>
        <v>295.3</v>
      </c>
      <c r="G56" s="132" t="s">
        <v>178</v>
      </c>
      <c r="H56" s="133" t="s">
        <v>260</v>
      </c>
      <c r="I56" s="131">
        <v>0.2</v>
      </c>
    </row>
    <row r="57" spans="1:9" ht="15">
      <c r="A57" s="128">
        <f>A55+D55</f>
        <v>269.69999999999993</v>
      </c>
      <c r="B57" s="129" t="s">
        <v>167</v>
      </c>
      <c r="C57" s="129" t="s">
        <v>261</v>
      </c>
      <c r="D57" s="131"/>
      <c r="E57" s="130"/>
      <c r="F57" s="131">
        <f>F56+I56</f>
        <v>295.5</v>
      </c>
      <c r="G57" s="132" t="s">
        <v>167</v>
      </c>
      <c r="H57" s="133" t="s">
        <v>262</v>
      </c>
      <c r="I57" s="131">
        <v>1.3</v>
      </c>
    </row>
    <row r="58" spans="1:9" ht="15">
      <c r="A58" s="131"/>
      <c r="B58" s="132"/>
      <c r="C58" s="129" t="s">
        <v>263</v>
      </c>
      <c r="D58" s="131"/>
      <c r="E58" s="130"/>
      <c r="F58" s="131">
        <f>F57+I57</f>
        <v>296.8</v>
      </c>
      <c r="G58" s="132" t="s">
        <v>167</v>
      </c>
      <c r="H58" s="133" t="s">
        <v>264</v>
      </c>
      <c r="I58" s="131">
        <v>4.2</v>
      </c>
    </row>
    <row r="59" spans="1:9" ht="15">
      <c r="A59" s="131"/>
      <c r="B59" s="132"/>
      <c r="C59" s="133"/>
      <c r="D59" s="131"/>
      <c r="E59" s="130"/>
      <c r="F59" s="131">
        <f>F58+I58</f>
        <v>301</v>
      </c>
      <c r="G59" s="132" t="s">
        <v>173</v>
      </c>
      <c r="H59" s="133" t="s">
        <v>265</v>
      </c>
      <c r="I59" s="131">
        <v>3.4</v>
      </c>
    </row>
    <row r="60" spans="1:9" ht="15">
      <c r="A60" s="148">
        <f>A57</f>
        <v>269.69999999999993</v>
      </c>
      <c r="B60" s="132" t="s">
        <v>167</v>
      </c>
      <c r="C60" s="133" t="s">
        <v>266</v>
      </c>
      <c r="D60" s="131">
        <v>1.8</v>
      </c>
      <c r="E60" s="130"/>
      <c r="F60" s="131">
        <f>F59+I59</f>
        <v>304.4</v>
      </c>
      <c r="G60" s="132" t="s">
        <v>167</v>
      </c>
      <c r="H60" s="133" t="s">
        <v>267</v>
      </c>
      <c r="I60" s="131">
        <v>8</v>
      </c>
    </row>
    <row r="61" spans="1:9" ht="15">
      <c r="A61" s="148">
        <f aca="true" t="shared" si="7" ref="A61:A67">A60+D60</f>
        <v>271.49999999999994</v>
      </c>
      <c r="B61" s="132" t="s">
        <v>167</v>
      </c>
      <c r="C61" s="133" t="s">
        <v>268</v>
      </c>
      <c r="D61" s="131">
        <v>1.3</v>
      </c>
      <c r="E61" s="130"/>
      <c r="F61" s="131"/>
      <c r="G61" s="132"/>
      <c r="H61" s="133" t="s">
        <v>269</v>
      </c>
      <c r="I61" s="131"/>
    </row>
    <row r="62" spans="1:9" ht="15">
      <c r="A62" s="131">
        <f t="shared" si="7"/>
        <v>272.79999999999995</v>
      </c>
      <c r="B62" s="132" t="s">
        <v>173</v>
      </c>
      <c r="C62" s="133" t="s">
        <v>270</v>
      </c>
      <c r="D62" s="131">
        <v>0.1</v>
      </c>
      <c r="E62" s="130"/>
      <c r="F62" s="131">
        <f>F60+I60</f>
        <v>312.4</v>
      </c>
      <c r="G62" s="132" t="s">
        <v>178</v>
      </c>
      <c r="H62" s="133" t="s">
        <v>271</v>
      </c>
      <c r="I62" s="131">
        <v>0.7</v>
      </c>
    </row>
    <row r="63" spans="1:9" ht="15">
      <c r="A63" s="131">
        <f t="shared" si="7"/>
        <v>272.9</v>
      </c>
      <c r="B63" s="132"/>
      <c r="C63" s="133" t="s">
        <v>272</v>
      </c>
      <c r="D63" s="131"/>
      <c r="E63" s="130"/>
      <c r="F63" s="131">
        <f aca="true" t="shared" si="8" ref="F63:F68">F62+I62</f>
        <v>313.09999999999997</v>
      </c>
      <c r="G63" s="132" t="s">
        <v>178</v>
      </c>
      <c r="H63" s="133" t="s">
        <v>273</v>
      </c>
      <c r="I63" s="131">
        <v>1</v>
      </c>
    </row>
    <row r="64" spans="1:9" ht="15">
      <c r="A64" s="131">
        <f t="shared" si="7"/>
        <v>272.9</v>
      </c>
      <c r="B64" s="132" t="s">
        <v>178</v>
      </c>
      <c r="C64" s="133" t="s">
        <v>270</v>
      </c>
      <c r="D64" s="131">
        <v>0.1</v>
      </c>
      <c r="E64" s="130"/>
      <c r="F64" s="148">
        <f t="shared" si="8"/>
        <v>314.09999999999997</v>
      </c>
      <c r="G64" s="132" t="s">
        <v>167</v>
      </c>
      <c r="H64" s="133" t="s">
        <v>274</v>
      </c>
      <c r="I64" s="131">
        <v>1.3</v>
      </c>
    </row>
    <row r="65" spans="1:9" ht="15">
      <c r="A65" s="131">
        <f t="shared" si="7"/>
        <v>273</v>
      </c>
      <c r="B65" s="132" t="s">
        <v>167</v>
      </c>
      <c r="C65" s="133" t="s">
        <v>275</v>
      </c>
      <c r="D65" s="131">
        <v>9.5</v>
      </c>
      <c r="E65" s="130"/>
      <c r="F65" s="131">
        <f t="shared" si="8"/>
        <v>315.4</v>
      </c>
      <c r="G65" s="132" t="s">
        <v>173</v>
      </c>
      <c r="H65" s="133" t="s">
        <v>276</v>
      </c>
      <c r="I65" s="131">
        <v>0.9</v>
      </c>
    </row>
    <row r="66" spans="1:9" ht="15">
      <c r="A66" s="131">
        <f t="shared" si="7"/>
        <v>282.5</v>
      </c>
      <c r="B66" s="132" t="s">
        <v>173</v>
      </c>
      <c r="C66" s="133" t="s">
        <v>277</v>
      </c>
      <c r="D66" s="131">
        <v>5.5</v>
      </c>
      <c r="E66" s="130"/>
      <c r="F66" s="131">
        <f t="shared" si="8"/>
        <v>316.29999999999995</v>
      </c>
      <c r="G66" s="132" t="s">
        <v>167</v>
      </c>
      <c r="H66" s="133" t="s">
        <v>199</v>
      </c>
      <c r="I66" s="131">
        <v>1.6</v>
      </c>
    </row>
    <row r="67" spans="1:9" ht="15">
      <c r="A67" s="148">
        <f t="shared" si="7"/>
        <v>288</v>
      </c>
      <c r="B67" s="132" t="s">
        <v>167</v>
      </c>
      <c r="C67" s="133" t="s">
        <v>278</v>
      </c>
      <c r="D67" s="131">
        <v>0.9</v>
      </c>
      <c r="E67" s="130"/>
      <c r="F67" s="131">
        <f t="shared" si="8"/>
        <v>317.9</v>
      </c>
      <c r="G67" s="132" t="s">
        <v>173</v>
      </c>
      <c r="H67" s="133" t="s">
        <v>279</v>
      </c>
      <c r="I67" s="131">
        <v>2.4</v>
      </c>
    </row>
    <row r="68" spans="1:9" ht="15">
      <c r="A68" s="148"/>
      <c r="B68" s="132"/>
      <c r="C68" s="133" t="s">
        <v>280</v>
      </c>
      <c r="D68" s="131"/>
      <c r="E68" s="130"/>
      <c r="F68" s="131">
        <f t="shared" si="8"/>
        <v>320.29999999999995</v>
      </c>
      <c r="G68" s="132" t="s">
        <v>167</v>
      </c>
      <c r="H68" s="133" t="s">
        <v>281</v>
      </c>
      <c r="I68" s="131">
        <v>0.8</v>
      </c>
    </row>
    <row r="69" spans="1:9" ht="15">
      <c r="A69" s="131">
        <f>A67+D67</f>
        <v>288.9</v>
      </c>
      <c r="B69" s="132" t="s">
        <v>178</v>
      </c>
      <c r="C69" s="133" t="s">
        <v>282</v>
      </c>
      <c r="D69" s="131">
        <v>0.1</v>
      </c>
      <c r="E69" s="130"/>
      <c r="F69" s="131"/>
      <c r="G69" s="132"/>
      <c r="H69" s="133" t="s">
        <v>283</v>
      </c>
      <c r="I69" s="131"/>
    </row>
    <row r="70" spans="1:9" ht="15">
      <c r="A70" s="131">
        <f>A69+D69</f>
        <v>289</v>
      </c>
      <c r="B70" s="132" t="s">
        <v>173</v>
      </c>
      <c r="C70" s="133" t="s">
        <v>284</v>
      </c>
      <c r="D70" s="131">
        <v>0.7</v>
      </c>
      <c r="E70" s="130"/>
      <c r="F70" s="131">
        <f>F68+I68</f>
        <v>321.09999999999997</v>
      </c>
      <c r="G70" s="132" t="s">
        <v>173</v>
      </c>
      <c r="H70" s="133" t="s">
        <v>285</v>
      </c>
      <c r="I70" s="131">
        <v>3</v>
      </c>
    </row>
    <row r="71" spans="1:9" ht="15">
      <c r="A71" s="131">
        <f>A70+D70</f>
        <v>289.7</v>
      </c>
      <c r="B71" s="132" t="s">
        <v>173</v>
      </c>
      <c r="C71" s="133" t="s">
        <v>286</v>
      </c>
      <c r="D71" s="131">
        <v>0.9</v>
      </c>
      <c r="E71" s="130"/>
      <c r="F71" s="131">
        <f>F70+I70</f>
        <v>324.09999999999997</v>
      </c>
      <c r="G71" s="132" t="s">
        <v>178</v>
      </c>
      <c r="H71" s="133" t="s">
        <v>287</v>
      </c>
      <c r="I71" s="131">
        <v>1</v>
      </c>
    </row>
    <row r="72" spans="1:9" ht="4.5" customHeight="1">
      <c r="A72" s="131"/>
      <c r="B72" s="132"/>
      <c r="C72" s="133"/>
      <c r="D72" s="131"/>
      <c r="E72" s="130"/>
      <c r="F72" s="130"/>
      <c r="G72" s="130"/>
      <c r="H72" s="130"/>
      <c r="I72" s="130"/>
    </row>
    <row r="73" spans="1:9" ht="39.75" customHeight="1">
      <c r="A73" s="137" t="s">
        <v>162</v>
      </c>
      <c r="B73" s="138" t="s">
        <v>163</v>
      </c>
      <c r="C73" s="139" t="s">
        <v>164</v>
      </c>
      <c r="D73" s="140" t="s">
        <v>165</v>
      </c>
      <c r="E73" s="130"/>
      <c r="F73" s="137" t="s">
        <v>162</v>
      </c>
      <c r="G73" s="138" t="s">
        <v>163</v>
      </c>
      <c r="H73" s="139" t="s">
        <v>164</v>
      </c>
      <c r="I73" s="140" t="s">
        <v>165</v>
      </c>
    </row>
    <row r="74" spans="1:9" ht="15">
      <c r="A74" s="131">
        <f>F71+I71</f>
        <v>325.09999999999997</v>
      </c>
      <c r="B74" s="132" t="s">
        <v>167</v>
      </c>
      <c r="C74" s="133" t="s">
        <v>288</v>
      </c>
      <c r="D74" s="131">
        <v>0.3</v>
      </c>
      <c r="E74" s="130"/>
      <c r="F74" s="131">
        <f>A94+D94</f>
        <v>377.99999999999994</v>
      </c>
      <c r="G74" s="132" t="s">
        <v>173</v>
      </c>
      <c r="H74" s="133" t="s">
        <v>289</v>
      </c>
      <c r="I74" s="131">
        <v>0.7</v>
      </c>
    </row>
    <row r="75" spans="1:9" ht="15">
      <c r="A75" s="131">
        <f>A74+D74</f>
        <v>325.4</v>
      </c>
      <c r="B75" s="132" t="s">
        <v>173</v>
      </c>
      <c r="C75" s="133" t="s">
        <v>290</v>
      </c>
      <c r="D75" s="131">
        <v>1</v>
      </c>
      <c r="E75" s="130"/>
      <c r="F75" s="131">
        <f>F74+I74</f>
        <v>378.69999999999993</v>
      </c>
      <c r="G75" s="132" t="s">
        <v>173</v>
      </c>
      <c r="H75" s="133" t="s">
        <v>291</v>
      </c>
      <c r="I75" s="131">
        <v>1.4</v>
      </c>
    </row>
    <row r="76" spans="1:9" ht="15">
      <c r="A76" s="131">
        <f aca="true" t="shared" si="9" ref="A76:A81">A75+D75</f>
        <v>326.4</v>
      </c>
      <c r="B76" s="132" t="s">
        <v>167</v>
      </c>
      <c r="C76" s="133" t="s">
        <v>292</v>
      </c>
      <c r="D76" s="131">
        <v>1.9</v>
      </c>
      <c r="E76" s="130"/>
      <c r="F76" s="131">
        <f aca="true" t="shared" si="10" ref="F76:F89">F75+I75</f>
        <v>380.0999999999999</v>
      </c>
      <c r="G76" s="132" t="s">
        <v>167</v>
      </c>
      <c r="H76" s="133" t="s">
        <v>293</v>
      </c>
      <c r="I76" s="131">
        <v>6</v>
      </c>
    </row>
    <row r="77" spans="1:9" ht="15">
      <c r="A77" s="131">
        <f t="shared" si="9"/>
        <v>328.29999999999995</v>
      </c>
      <c r="B77" s="132" t="s">
        <v>173</v>
      </c>
      <c r="C77" s="133" t="s">
        <v>294</v>
      </c>
      <c r="D77" s="131">
        <v>1.4</v>
      </c>
      <c r="E77" s="130"/>
      <c r="F77" s="131">
        <f t="shared" si="10"/>
        <v>386.0999999999999</v>
      </c>
      <c r="G77" s="132" t="s">
        <v>167</v>
      </c>
      <c r="H77" s="133" t="s">
        <v>295</v>
      </c>
      <c r="I77" s="131">
        <v>0.3</v>
      </c>
    </row>
    <row r="78" spans="1:9" ht="15">
      <c r="A78" s="131">
        <f t="shared" si="9"/>
        <v>329.69999999999993</v>
      </c>
      <c r="B78" s="132" t="s">
        <v>173</v>
      </c>
      <c r="C78" s="133" t="s">
        <v>296</v>
      </c>
      <c r="D78" s="131">
        <v>5.8</v>
      </c>
      <c r="E78" s="130"/>
      <c r="F78" s="131">
        <f t="shared" si="10"/>
        <v>386.3999999999999</v>
      </c>
      <c r="G78" s="132" t="s">
        <v>167</v>
      </c>
      <c r="H78" s="133" t="s">
        <v>297</v>
      </c>
      <c r="I78" s="131">
        <v>0.3</v>
      </c>
    </row>
    <row r="79" spans="1:9" ht="15">
      <c r="A79" s="131">
        <f t="shared" si="9"/>
        <v>335.49999999999994</v>
      </c>
      <c r="B79" s="132" t="s">
        <v>167</v>
      </c>
      <c r="C79" s="133" t="s">
        <v>298</v>
      </c>
      <c r="D79" s="131">
        <v>2.4</v>
      </c>
      <c r="E79" s="130"/>
      <c r="F79" s="131">
        <f t="shared" si="10"/>
        <v>386.69999999999993</v>
      </c>
      <c r="G79" s="132" t="s">
        <v>299</v>
      </c>
      <c r="H79" s="133" t="s">
        <v>300</v>
      </c>
      <c r="I79" s="131">
        <v>1.5</v>
      </c>
    </row>
    <row r="80" spans="1:9" ht="15">
      <c r="A80" s="131">
        <f t="shared" si="9"/>
        <v>337.8999999999999</v>
      </c>
      <c r="B80" s="132" t="s">
        <v>173</v>
      </c>
      <c r="C80" s="133" t="s">
        <v>301</v>
      </c>
      <c r="D80" s="131">
        <v>2.7</v>
      </c>
      <c r="E80" s="130"/>
      <c r="F80" s="131">
        <f t="shared" si="10"/>
        <v>388.19999999999993</v>
      </c>
      <c r="G80" s="132" t="s">
        <v>178</v>
      </c>
      <c r="H80" s="133" t="s">
        <v>302</v>
      </c>
      <c r="I80" s="131">
        <v>0</v>
      </c>
    </row>
    <row r="81" spans="1:9" ht="15">
      <c r="A81" s="131">
        <f t="shared" si="9"/>
        <v>340.5999999999999</v>
      </c>
      <c r="B81" s="132" t="s">
        <v>173</v>
      </c>
      <c r="C81" s="133" t="s">
        <v>303</v>
      </c>
      <c r="D81" s="131">
        <v>6.3</v>
      </c>
      <c r="E81" s="130"/>
      <c r="F81" s="131">
        <f t="shared" si="10"/>
        <v>388.19999999999993</v>
      </c>
      <c r="G81" s="132" t="s">
        <v>178</v>
      </c>
      <c r="H81" s="133" t="s">
        <v>300</v>
      </c>
      <c r="I81" s="131">
        <v>1.8</v>
      </c>
    </row>
    <row r="82" spans="1:9" ht="15">
      <c r="A82" s="131"/>
      <c r="B82" s="132"/>
      <c r="C82" s="133"/>
      <c r="D82" s="131"/>
      <c r="E82" s="130"/>
      <c r="F82" s="131">
        <f t="shared" si="10"/>
        <v>389.99999999999994</v>
      </c>
      <c r="G82" s="132" t="s">
        <v>173</v>
      </c>
      <c r="H82" s="133" t="s">
        <v>304</v>
      </c>
      <c r="I82" s="131">
        <v>0</v>
      </c>
    </row>
    <row r="83" spans="1:9" ht="15">
      <c r="A83" s="128">
        <f>A81+D81</f>
        <v>346.8999999999999</v>
      </c>
      <c r="B83" s="132"/>
      <c r="C83" s="129" t="s">
        <v>305</v>
      </c>
      <c r="D83" s="131"/>
      <c r="E83" s="130"/>
      <c r="F83" s="131">
        <f t="shared" si="10"/>
        <v>389.99999999999994</v>
      </c>
      <c r="G83" s="132" t="s">
        <v>167</v>
      </c>
      <c r="H83" s="133" t="s">
        <v>306</v>
      </c>
      <c r="I83" s="131">
        <v>3.7</v>
      </c>
    </row>
    <row r="84" spans="1:9" ht="15">
      <c r="A84" s="131"/>
      <c r="B84" s="132"/>
      <c r="C84" s="129" t="s">
        <v>43</v>
      </c>
      <c r="D84" s="131"/>
      <c r="E84" s="130"/>
      <c r="F84" s="131">
        <f t="shared" si="10"/>
        <v>393.69999999999993</v>
      </c>
      <c r="G84" s="132" t="s">
        <v>167</v>
      </c>
      <c r="H84" s="133" t="s">
        <v>307</v>
      </c>
      <c r="I84" s="131">
        <v>2.6</v>
      </c>
    </row>
    <row r="85" spans="1:9" ht="15">
      <c r="A85" s="131"/>
      <c r="B85" s="132"/>
      <c r="C85" s="129" t="s">
        <v>44</v>
      </c>
      <c r="D85" s="131"/>
      <c r="E85" s="130"/>
      <c r="F85" s="131">
        <f t="shared" si="10"/>
        <v>396.29999999999995</v>
      </c>
      <c r="G85" s="132" t="s">
        <v>178</v>
      </c>
      <c r="H85" s="133" t="s">
        <v>308</v>
      </c>
      <c r="I85" s="131">
        <v>1.1</v>
      </c>
    </row>
    <row r="86" spans="1:9" ht="15">
      <c r="A86" s="131"/>
      <c r="B86" s="132"/>
      <c r="C86" s="133"/>
      <c r="D86" s="131"/>
      <c r="E86" s="130"/>
      <c r="F86" s="131">
        <f t="shared" si="10"/>
        <v>397.4</v>
      </c>
      <c r="G86" s="132" t="s">
        <v>173</v>
      </c>
      <c r="H86" s="133" t="s">
        <v>309</v>
      </c>
      <c r="I86" s="131">
        <v>3.6</v>
      </c>
    </row>
    <row r="87" spans="1:9" ht="15">
      <c r="A87" s="131">
        <f>A83</f>
        <v>346.8999999999999</v>
      </c>
      <c r="B87" s="132" t="s">
        <v>167</v>
      </c>
      <c r="C87" s="133" t="s">
        <v>310</v>
      </c>
      <c r="D87" s="131">
        <v>2.1</v>
      </c>
      <c r="E87" s="130"/>
      <c r="F87" s="131">
        <f t="shared" si="10"/>
        <v>401</v>
      </c>
      <c r="G87" s="132" t="s">
        <v>173</v>
      </c>
      <c r="H87" s="133" t="s">
        <v>311</v>
      </c>
      <c r="I87" s="131">
        <v>2.4</v>
      </c>
    </row>
    <row r="88" spans="1:9" ht="15">
      <c r="A88" s="131">
        <f aca="true" t="shared" si="11" ref="A88:A94">A87+D87</f>
        <v>348.99999999999994</v>
      </c>
      <c r="B88" s="132" t="s">
        <v>173</v>
      </c>
      <c r="C88" s="133" t="s">
        <v>312</v>
      </c>
      <c r="D88" s="131">
        <v>10.4</v>
      </c>
      <c r="E88" s="130"/>
      <c r="F88" s="131">
        <f t="shared" si="10"/>
        <v>403.4</v>
      </c>
      <c r="G88" s="132" t="s">
        <v>167</v>
      </c>
      <c r="H88" s="133" t="s">
        <v>313</v>
      </c>
      <c r="I88" s="131">
        <v>0.5</v>
      </c>
    </row>
    <row r="89" spans="1:9" ht="15">
      <c r="A89" s="131">
        <f t="shared" si="11"/>
        <v>359.3999999999999</v>
      </c>
      <c r="B89" s="132" t="s">
        <v>178</v>
      </c>
      <c r="C89" s="133" t="s">
        <v>204</v>
      </c>
      <c r="D89" s="131">
        <v>6.4</v>
      </c>
      <c r="E89" s="130"/>
      <c r="F89" s="131">
        <f t="shared" si="10"/>
        <v>403.9</v>
      </c>
      <c r="G89" s="132" t="s">
        <v>167</v>
      </c>
      <c r="H89" s="133" t="s">
        <v>314</v>
      </c>
      <c r="I89" s="131">
        <v>0.1</v>
      </c>
    </row>
    <row r="90" spans="1:9" ht="15">
      <c r="A90" s="131">
        <f t="shared" si="11"/>
        <v>365.7999999999999</v>
      </c>
      <c r="B90" s="132" t="s">
        <v>315</v>
      </c>
      <c r="C90" s="133" t="s">
        <v>316</v>
      </c>
      <c r="D90" s="131">
        <v>0.6</v>
      </c>
      <c r="E90" s="130"/>
      <c r="F90" s="131"/>
      <c r="G90" s="132"/>
      <c r="H90" s="133"/>
      <c r="I90" s="131"/>
    </row>
    <row r="91" spans="1:9" ht="15">
      <c r="A91" s="131">
        <f t="shared" si="11"/>
        <v>366.3999999999999</v>
      </c>
      <c r="B91" s="132" t="s">
        <v>173</v>
      </c>
      <c r="C91" s="133" t="s">
        <v>317</v>
      </c>
      <c r="D91" s="131">
        <v>9.7</v>
      </c>
      <c r="E91" s="130"/>
      <c r="F91" s="131">
        <f>F89+I89</f>
        <v>404</v>
      </c>
      <c r="G91" s="129" t="s">
        <v>173</v>
      </c>
      <c r="H91" s="129" t="s">
        <v>318</v>
      </c>
      <c r="I91" s="131"/>
    </row>
    <row r="92" spans="1:9" ht="15">
      <c r="A92" s="131">
        <f t="shared" si="11"/>
        <v>376.0999999999999</v>
      </c>
      <c r="B92" s="132" t="s">
        <v>315</v>
      </c>
      <c r="C92" s="133" t="s">
        <v>319</v>
      </c>
      <c r="D92" s="131">
        <v>0.1</v>
      </c>
      <c r="E92" s="130"/>
      <c r="F92" s="131"/>
      <c r="G92" s="132"/>
      <c r="H92" s="149" t="s">
        <v>320</v>
      </c>
      <c r="I92" s="131"/>
    </row>
    <row r="93" spans="1:9" ht="15">
      <c r="A93" s="131">
        <f t="shared" si="11"/>
        <v>376.19999999999993</v>
      </c>
      <c r="B93" s="132" t="s">
        <v>178</v>
      </c>
      <c r="C93" s="133" t="s">
        <v>321</v>
      </c>
      <c r="D93" s="131">
        <v>1.7</v>
      </c>
      <c r="E93" s="130"/>
      <c r="F93" s="131"/>
      <c r="G93" s="132"/>
      <c r="H93" s="133"/>
      <c r="I93" s="131"/>
    </row>
    <row r="94" spans="1:5" ht="15">
      <c r="A94" s="131">
        <f t="shared" si="11"/>
        <v>377.8999999999999</v>
      </c>
      <c r="B94" s="132" t="s">
        <v>167</v>
      </c>
      <c r="C94" s="133" t="s">
        <v>322</v>
      </c>
      <c r="D94" s="131">
        <v>0.1</v>
      </c>
      <c r="E94" s="130"/>
    </row>
    <row r="95" ht="15">
      <c r="E95" s="130"/>
    </row>
    <row r="101" ht="12.75">
      <c r="D101" s="123"/>
    </row>
  </sheetData>
  <sheetProtection selectLockedCells="1" selectUnlockedCells="1"/>
  <printOptions horizontalCentered="1" verticalCentered="1"/>
  <pageMargins left="0.25" right="0.20972222222222223" top="0.6305555555555555" bottom="0.5902777777777778" header="0.24027777777777778" footer="0.24027777777777778"/>
  <pageSetup horizontalDpi="300" verticalDpi="300" orientation="portrait" scale="91"/>
  <headerFooter alignWithMargins="0">
    <oddHeader>&amp;C&amp;"Arial,Bold"VANCOUVER ISLAND
BACKROAD 400 BREVET&amp;R&amp;8Page &amp;P of &amp;N</oddHeader>
    <oddFooter>&amp;L&amp;8L = Left
SO = Straight On
R = Right&amp;CBC Randonneur Cycling Club
&amp;8Affiliated with &amp;"Arial,Italic"Cycling BC
&amp;"Arial,Regular"Founding member of&amp;"Arial,Italic" Les Randonneurs Mondiaux&amp;R&amp;8DNF : 250-893-6767
EMERGENCY: 911</oddFooter>
  </headerFooter>
  <rowBreaks count="2" manualBreakCount="2">
    <brk id="48" max="255" man="1"/>
    <brk id="10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Backroad 400</dc:title>
  <dc:subject/>
  <dc:creator>Raymond Parker</dc:creator>
  <cp:keywords/>
  <dc:description/>
  <cp:lastModifiedBy>PHSABC</cp:lastModifiedBy>
  <cp:lastPrinted>2011-07-10T16:34:57Z</cp:lastPrinted>
  <dcterms:created xsi:type="dcterms:W3CDTF">1997-11-12T04:43:39Z</dcterms:created>
  <dcterms:modified xsi:type="dcterms:W3CDTF">2012-11-08T15:52:45Z</dcterms:modified>
  <cp:category/>
  <cp:version/>
  <cp:contentType/>
  <cp:contentStatus/>
</cp:coreProperties>
</file>